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omments1.xml" ContentType="application/vnd.openxmlformats-officedocument.spreadsheetml.comments+xml"/>
  <Override PartName="/xl/customProperty5.bin" ContentType="application/vnd.openxmlformats-officedocument.spreadsheetml.customProperty"/>
  <Override PartName="/xl/drawings/drawing1.xml" ContentType="application/vnd.openxmlformats-officedocument.drawing+xml"/>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ritreasury-my.sharepoint.com/personal/eric_motta_ersri_org/Documents/Working Files/Lifeworks/W-4P/web/"/>
    </mc:Choice>
  </mc:AlternateContent>
  <xr:revisionPtr revIDLastSave="0" documentId="8_{03C289AD-66CA-47FB-B57F-6FF48ED5D7D4}" xr6:coauthVersionLast="47" xr6:coauthVersionMax="47" xr10:uidLastSave="{00000000-0000-0000-0000-000000000000}"/>
  <workbookProtection workbookAlgorithmName="SHA-512" workbookHashValue="JB3EnUHO7JBCCWV0wetKFH3WRDsYUSmN5WuREykQtbqxcrcbvJIGJpOjPXNTqMap8EOXtbrWV35thXkTN41N4A==" workbookSaltValue="F4+bfaDpQM4p80gtPwMgUQ==" workbookSpinCount="100000" lockStructure="1"/>
  <bookViews>
    <workbookView xWindow="-28920" yWindow="-120" windowWidth="29040" windowHeight="15840" xr2:uid="{00000000-000D-0000-FFFF-FFFF00000000}"/>
  </bookViews>
  <sheets>
    <sheet name="Tax_Calculator_2023" sheetId="1" r:id="rId1"/>
    <sheet name="Computational Bridge Calc" sheetId="9" state="hidden" r:id="rId2"/>
    <sheet name="Data" sheetId="5" state="hidden" r:id="rId3"/>
    <sheet name="TaxCalculation" sheetId="6" state="hidden" r:id="rId4"/>
    <sheet name="Update" sheetId="3" state="hidden" r:id="rId5"/>
    <sheet name="__nAxPro_Settings__" sheetId="10" state="veryHidden" r:id="rId6"/>
  </sheets>
  <externalReferences>
    <externalReference r:id="rId7"/>
  </externalReferences>
  <definedNames>
    <definedName name="__nAxPro_column__" localSheetId="1" hidden="1">'Computational Bridge Calc'!$XFD:$XFD</definedName>
    <definedName name="__nAxPro_column__" localSheetId="2" hidden="1">Data!$XFD:$XFD</definedName>
    <definedName name="__nAxPro_column__" localSheetId="0" hidden="1">Tax_Calculator_2023!$XFD:$XFD</definedName>
    <definedName name="__nAxPro_column__" localSheetId="3" hidden="1">TaxCalculation!$XFD:$XFD</definedName>
    <definedName name="__nAxPro_column__" localSheetId="4" hidden="1">Update!$XFD:$XFD</definedName>
    <definedName name="__nAxPro_row__" localSheetId="1" hidden="1">'Computational Bridge Calc'!#REF!</definedName>
    <definedName name="__nAxPro_row__" localSheetId="2" hidden="1">Data!$1048576:$1048576</definedName>
    <definedName name="__nAxPro_row__" localSheetId="0" hidden="1">Tax_Calculator_2023!#REF!</definedName>
    <definedName name="__nAxPro_row__" localSheetId="3" hidden="1">TaxCalculation!$1048576:$1048576</definedName>
    <definedName name="__nAxPro_row__" localSheetId="4" hidden="1">Update!$1048576:$1048576</definedName>
    <definedName name="OLD_val_FedAddWH">'Computational Bridge Calc'!$E$12</definedName>
    <definedName name="OLD_val_FedMarriedWH">TaxCalculation!$O$11</definedName>
    <definedName name="OLD_val_FedNumExempt">'Computational Bridge Calc'!$E$11</definedName>
    <definedName name="OLD_val_FedSingleWH">TaxCalculation!$O$10</definedName>
    <definedName name="OLD_val_MaritalStatus">'Computational Bridge Calc'!$E$10</definedName>
    <definedName name="OLD_val_MonthlyGross">'Computational Bridge Calc'!$E$8</definedName>
    <definedName name="OLD_val_StateAddWH">'Computational Bridge Calc'!$E$15</definedName>
    <definedName name="OLD_val_StateCalcWH">TaxCalculation!$N$48</definedName>
    <definedName name="OLD_val_StateNumExempt">'Computational Bridge Calc'!$E$14</definedName>
    <definedName name="tbl_FedTaxData" localSheetId="1">[1]Data!$C$4:$W$20</definedName>
    <definedName name="tbl_FedTaxData">Data!$C$6:$AC$34</definedName>
    <definedName name="tbl_StateTaxData" localSheetId="1">[1]Data!$C$24:$W$28</definedName>
    <definedName name="tbl_StateTaxData">Data!$C$38:$AC$42</definedName>
    <definedName name="tbl_Years" localSheetId="1">[1]Data!$C$3:$W$3</definedName>
    <definedName name="tbl_Years">Data!$C$5:$AC$5</definedName>
    <definedName name="val_FedAddWH" localSheetId="1">'Computational Bridge Calc'!$E$12</definedName>
    <definedName name="val_FedAddWH">Tax_Calculator_2023!$E$16</definedName>
    <definedName name="val_FedDeductions">Tax_Calculator_2023!$E$15</definedName>
    <definedName name="val_FedDependentCredits">Tax_Calculator_2023!$E$13</definedName>
    <definedName name="val_FedDesired" localSheetId="1">'Computational Bridge Calc'!#REF!</definedName>
    <definedName name="val_FedDesired">Tax_Calculator_2023!$E$21</definedName>
    <definedName name="val_FedHoHWH">TaxCalculation!$L$12</definedName>
    <definedName name="val_FedMarriedWH" localSheetId="1">[1]TaxCalculation!$K$11</definedName>
    <definedName name="val_FedMarriedWH">TaxCalculation!$L$11</definedName>
    <definedName name="val_FedNumExempt" localSheetId="1">'Computational Bridge Calc'!$E$11</definedName>
    <definedName name="val_FedNumExempt">#REF!</definedName>
    <definedName name="val_FedOtherIncome">Tax_Calculator_2023!$E$14</definedName>
    <definedName name="val_FedSingleWH" localSheetId="1">[1]TaxCalculation!$K$10</definedName>
    <definedName name="val_FedSingleWH">TaxCalculation!$L$10</definedName>
    <definedName name="val_FedTotalIncAddPens">Tax_Calculator_2023!$E$12</definedName>
    <definedName name="val_FedWH" localSheetId="1">'Computational Bridge Calc'!$J$9</definedName>
    <definedName name="val_FedWH">Tax_Calculator_2023!$J$10</definedName>
    <definedName name="Val_FillingDeductionMarried">TaxCalculation!$C$41</definedName>
    <definedName name="Val_FillingDeductionOther">TaxCalculation!$D$41</definedName>
    <definedName name="val_MaritalStatus" localSheetId="1">'Computational Bridge Calc'!$E$10</definedName>
    <definedName name="val_MaritalStatus">Tax_Calculator_2023!$E$11</definedName>
    <definedName name="val_MonthlyGross" localSheetId="1">'Computational Bridge Calc'!$E$8</definedName>
    <definedName name="val_MonthlyGross">Tax_Calculator_2023!$E$9</definedName>
    <definedName name="val_StateAddWH" localSheetId="1">'Computational Bridge Calc'!$E$15</definedName>
    <definedName name="val_StateAddWH">Tax_Calculator_2023!$E$19</definedName>
    <definedName name="val_StateCalcWH" localSheetId="1">[1]TaxCalculation!$K$34</definedName>
    <definedName name="val_StateCalcWH">TaxCalculation!$L$48</definedName>
    <definedName name="val_StateDesired" localSheetId="1">'Computational Bridge Calc'!#REF!</definedName>
    <definedName name="val_StateDesired">Tax_Calculator_2023!$E$22</definedName>
    <definedName name="val_StateNumExempt" localSheetId="1">'Computational Bridge Calc'!$E$14</definedName>
    <definedName name="val_StateNumExempt">Tax_Calculator_2023!$E$18</definedName>
    <definedName name="val_StateWH" localSheetId="1">'Computational Bridge Calc'!$J$10</definedName>
    <definedName name="val_StateWH">Tax_Calculator_2023!$J$11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 i="1" l="1"/>
  <c r="G21" i="1"/>
  <c r="E18" i="9"/>
  <c r="E23" i="9"/>
  <c r="E20" i="9"/>
  <c r="E25" i="9"/>
  <c r="E24" i="9"/>
  <c r="B2" i="9"/>
  <c r="D41" i="6" l="1"/>
  <c r="L8" i="6" s="1"/>
  <c r="C41" i="6"/>
  <c r="C36" i="6"/>
  <c r="C45" i="6" l="1"/>
  <c r="N46" i="6" s="1"/>
  <c r="G50" i="6"/>
  <c r="E50" i="6"/>
  <c r="C50" i="6"/>
  <c r="G49" i="6"/>
  <c r="D49" i="6"/>
  <c r="C49" i="6"/>
  <c r="G48" i="6"/>
  <c r="E48" i="6"/>
  <c r="D48" i="6"/>
  <c r="G38" i="6"/>
  <c r="C38" i="6"/>
  <c r="G37" i="6"/>
  <c r="D37" i="6"/>
  <c r="C37" i="6"/>
  <c r="G36" i="6"/>
  <c r="D36" i="6"/>
  <c r="G35" i="6"/>
  <c r="D35" i="6"/>
  <c r="C35" i="6"/>
  <c r="G34" i="6"/>
  <c r="D34" i="6"/>
  <c r="C34" i="6"/>
  <c r="G33" i="6"/>
  <c r="D33" i="6"/>
  <c r="C33" i="6"/>
  <c r="G32" i="6"/>
  <c r="E32" i="6"/>
  <c r="D32" i="6"/>
  <c r="C32" i="6"/>
  <c r="D31" i="6"/>
  <c r="E25" i="5"/>
  <c r="E41" i="5"/>
  <c r="E42" i="5" s="1"/>
  <c r="E17" i="5"/>
  <c r="E9" i="5"/>
  <c r="E26" i="5" l="1"/>
  <c r="E18" i="5"/>
  <c r="E10" i="5"/>
  <c r="I50" i="6"/>
  <c r="I48" i="6"/>
  <c r="I49" i="6"/>
  <c r="E49" i="6"/>
  <c r="E33" i="6"/>
  <c r="E34" i="6"/>
  <c r="H41" i="5"/>
  <c r="H42" i="5" s="1"/>
  <c r="H17" i="5"/>
  <c r="H18" i="5" s="1"/>
  <c r="H19" i="5" s="1"/>
  <c r="H20" i="5" s="1"/>
  <c r="H21" i="5" s="1"/>
  <c r="H22" i="5" s="1"/>
  <c r="H9" i="5"/>
  <c r="H10" i="5" s="1"/>
  <c r="H11" i="5" s="1"/>
  <c r="H12" i="5" s="1"/>
  <c r="H13" i="5" s="1"/>
  <c r="H14" i="5" s="1"/>
  <c r="E27" i="5" l="1"/>
  <c r="E19" i="5"/>
  <c r="E11" i="5"/>
  <c r="K41" i="5"/>
  <c r="K42" i="5" s="1"/>
  <c r="K17" i="5"/>
  <c r="K18" i="5" s="1"/>
  <c r="K19" i="5" s="1"/>
  <c r="K20" i="5" s="1"/>
  <c r="K21" i="5" s="1"/>
  <c r="K22" i="5" s="1"/>
  <c r="K9" i="5"/>
  <c r="K10" i="5" s="1"/>
  <c r="K11" i="5" s="1"/>
  <c r="K12" i="5" s="1"/>
  <c r="K13" i="5" s="1"/>
  <c r="K14" i="5" s="1"/>
  <c r="E28" i="5" l="1"/>
  <c r="E35" i="6"/>
  <c r="E20" i="5"/>
  <c r="E12" i="5"/>
  <c r="N41" i="5"/>
  <c r="N42" i="5" s="1"/>
  <c r="N17" i="5"/>
  <c r="N18" i="5" s="1"/>
  <c r="N19" i="5" s="1"/>
  <c r="N20" i="5" s="1"/>
  <c r="N21" i="5" s="1"/>
  <c r="N22" i="5" s="1"/>
  <c r="N9" i="5"/>
  <c r="N10" i="5" s="1"/>
  <c r="N11" i="5" s="1"/>
  <c r="N12" i="5" s="1"/>
  <c r="N13" i="5" s="1"/>
  <c r="N14" i="5" s="1"/>
  <c r="E29" i="5" l="1"/>
  <c r="E36" i="6"/>
  <c r="E21" i="5"/>
  <c r="E13" i="5"/>
  <c r="D14" i="6"/>
  <c r="D11" i="6"/>
  <c r="C8" i="6"/>
  <c r="O8" i="6" s="1"/>
  <c r="Q41" i="5"/>
  <c r="Q42" i="5" s="1"/>
  <c r="Q17" i="5"/>
  <c r="Q18" i="5" s="1"/>
  <c r="Q19" i="5" s="1"/>
  <c r="Q20" i="5" s="1"/>
  <c r="Q21" i="5" s="1"/>
  <c r="Q22" i="5" s="1"/>
  <c r="Q9" i="5"/>
  <c r="Q10" i="5" s="1"/>
  <c r="Q11" i="5" s="1"/>
  <c r="Q12" i="5" s="1"/>
  <c r="Q13" i="5" s="1"/>
  <c r="Q14" i="5" s="1"/>
  <c r="E30" i="5" l="1"/>
  <c r="E37" i="6"/>
  <c r="E22" i="5"/>
  <c r="E14" i="5"/>
  <c r="I11" i="6"/>
  <c r="I22" i="6"/>
  <c r="I18" i="6"/>
  <c r="I14" i="6"/>
  <c r="I28" i="6"/>
  <c r="I24" i="6"/>
  <c r="I26" i="6"/>
  <c r="I17" i="6"/>
  <c r="I13" i="6"/>
  <c r="I27" i="6"/>
  <c r="I23" i="6"/>
  <c r="I16" i="6"/>
  <c r="I12" i="6"/>
  <c r="I15" i="6"/>
  <c r="I25" i="6"/>
  <c r="H11" i="6"/>
  <c r="H38" i="6"/>
  <c r="H37" i="6"/>
  <c r="H33" i="6"/>
  <c r="H36" i="6"/>
  <c r="H32" i="6"/>
  <c r="H34" i="6"/>
  <c r="H35" i="6"/>
  <c r="H31" i="6"/>
  <c r="E38" i="6" l="1"/>
  <c r="M12" i="6"/>
  <c r="L12" i="6" s="1"/>
  <c r="G15" i="1"/>
  <c r="AC41" i="5"/>
  <c r="AC42" i="5" s="1"/>
  <c r="Z41" i="5"/>
  <c r="Z42" i="5" s="1"/>
  <c r="W41" i="5"/>
  <c r="W42" i="5" s="1"/>
  <c r="T41" i="5"/>
  <c r="T42" i="5" s="1"/>
  <c r="L52" i="6" l="1"/>
  <c r="L16" i="6" l="1"/>
  <c r="G28" i="6"/>
  <c r="L46" i="6"/>
  <c r="D21" i="6"/>
  <c r="I21" i="6" s="1"/>
  <c r="C28" i="6"/>
  <c r="G27" i="6"/>
  <c r="D27" i="6"/>
  <c r="C27" i="6"/>
  <c r="G26" i="6"/>
  <c r="D26" i="6"/>
  <c r="C26" i="6"/>
  <c r="G25" i="6"/>
  <c r="D25" i="6"/>
  <c r="C25" i="6"/>
  <c r="G24" i="6"/>
  <c r="D24" i="6"/>
  <c r="C24" i="6"/>
  <c r="G23" i="6"/>
  <c r="D23" i="6"/>
  <c r="C23" i="6"/>
  <c r="G22" i="6"/>
  <c r="E22" i="6"/>
  <c r="D22" i="6"/>
  <c r="C22" i="6"/>
  <c r="G13" i="6"/>
  <c r="G14" i="6"/>
  <c r="G15" i="6"/>
  <c r="G16" i="6"/>
  <c r="G17" i="6"/>
  <c r="G18" i="6"/>
  <c r="G12" i="6"/>
  <c r="E12" i="6"/>
  <c r="D13" i="6"/>
  <c r="D15" i="6"/>
  <c r="D16" i="6"/>
  <c r="D17" i="6"/>
  <c r="C18" i="6"/>
  <c r="C13" i="6"/>
  <c r="C14" i="6"/>
  <c r="C15" i="6"/>
  <c r="C16" i="6"/>
  <c r="C17" i="6"/>
  <c r="D12" i="6"/>
  <c r="C12" i="6"/>
  <c r="W9" i="5"/>
  <c r="W10" i="5" s="1"/>
  <c r="W11" i="5" s="1"/>
  <c r="W12" i="5" s="1"/>
  <c r="W13" i="5" s="1"/>
  <c r="W14" i="5" s="1"/>
  <c r="AC17" i="5"/>
  <c r="AC18" i="5" s="1"/>
  <c r="AC19" i="5" s="1"/>
  <c r="AC20" i="5" s="1"/>
  <c r="AC21" i="5" s="1"/>
  <c r="AC22" i="5" s="1"/>
  <c r="Z17" i="5"/>
  <c r="Z18" i="5" s="1"/>
  <c r="Z19" i="5" s="1"/>
  <c r="Z20" i="5" s="1"/>
  <c r="Z21" i="5" s="1"/>
  <c r="Z22" i="5" s="1"/>
  <c r="W17" i="5"/>
  <c r="W18" i="5" s="1"/>
  <c r="W19" i="5" s="1"/>
  <c r="W20" i="5" s="1"/>
  <c r="W21" i="5" s="1"/>
  <c r="W22" i="5" s="1"/>
  <c r="T17" i="5"/>
  <c r="T18" i="5" s="1"/>
  <c r="T19" i="5" s="1"/>
  <c r="T20" i="5" s="1"/>
  <c r="T21" i="5" s="1"/>
  <c r="T22" i="5" s="1"/>
  <c r="T9" i="5"/>
  <c r="T10" i="5" s="1"/>
  <c r="T11" i="5" s="1"/>
  <c r="T12" i="5" s="1"/>
  <c r="T13" i="5" s="1"/>
  <c r="T14" i="5" s="1"/>
  <c r="Z9" i="5"/>
  <c r="Z10" i="5" s="1"/>
  <c r="Z11" i="5" s="1"/>
  <c r="Z12" i="5" s="1"/>
  <c r="Z13" i="5" s="1"/>
  <c r="Z14" i="5" s="1"/>
  <c r="AC9" i="5"/>
  <c r="AC10" i="5" s="1"/>
  <c r="AC11" i="5" s="1"/>
  <c r="AC12" i="5" s="1"/>
  <c r="AC13" i="5" s="1"/>
  <c r="AC14" i="5" s="1"/>
  <c r="O48" i="6" l="1"/>
  <c r="N48" i="6" s="1"/>
  <c r="P10" i="6"/>
  <c r="O10" i="6" s="1"/>
  <c r="P11" i="6"/>
  <c r="O11" i="6" s="1"/>
  <c r="E18" i="6"/>
  <c r="H48" i="6"/>
  <c r="E28" i="6"/>
  <c r="H13" i="6"/>
  <c r="H12" i="6"/>
  <c r="H21" i="6"/>
  <c r="E16" i="6"/>
  <c r="E15" i="6"/>
  <c r="E17" i="6"/>
  <c r="E13" i="6"/>
  <c r="E23" i="6"/>
  <c r="E24" i="6"/>
  <c r="E25" i="6"/>
  <c r="E26" i="6"/>
  <c r="E27" i="6"/>
  <c r="E14" i="6"/>
  <c r="H28" i="6"/>
  <c r="H50" i="6"/>
  <c r="H49" i="6"/>
  <c r="H23" i="6"/>
  <c r="H22" i="6"/>
  <c r="H14" i="6"/>
  <c r="H17" i="6"/>
  <c r="H24" i="6"/>
  <c r="H18" i="6"/>
  <c r="H27" i="6"/>
  <c r="H15" i="6"/>
  <c r="H25" i="6"/>
  <c r="H16" i="6"/>
  <c r="H26" i="6"/>
  <c r="J9" i="9" l="1"/>
  <c r="J10" i="9" s="1"/>
  <c r="J12" i="9" s="1"/>
  <c r="M48" i="6"/>
  <c r="L48" i="6" s="1"/>
  <c r="M10" i="6"/>
  <c r="L10" i="6" s="1"/>
  <c r="M11" i="6"/>
  <c r="L11" i="6" l="1"/>
  <c r="J10" i="1" s="1"/>
  <c r="K20" i="6" l="1"/>
  <c r="L17" i="6" l="1"/>
  <c r="R21" i="6" s="1"/>
  <c r="R23" i="6" l="1"/>
  <c r="R22" i="6"/>
  <c r="R20" i="6"/>
  <c r="G16" i="1" l="1"/>
  <c r="J11" i="1"/>
  <c r="J13" i="1" l="1"/>
  <c r="K56" i="6"/>
  <c r="L53" i="6"/>
  <c r="R56" i="6" l="1"/>
  <c r="G22" i="1" s="1"/>
  <c r="R58" i="6"/>
  <c r="R57" i="6"/>
  <c r="R5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Benjamin Castonguay</author>
  </authors>
  <commentList>
    <comment ref="K46" authorId="0" shapeId="0" xr:uid="{00000000-0006-0000-0300-000001000000}">
      <text>
        <r>
          <rPr>
            <b/>
            <sz val="9"/>
            <color indexed="81"/>
            <rFont val="Tahoma"/>
            <family val="2"/>
          </rPr>
          <t>Benjamin Castonguay:</t>
        </r>
        <r>
          <rPr>
            <sz val="9"/>
            <color indexed="81"/>
            <rFont val="Tahoma"/>
            <family val="2"/>
          </rPr>
          <t xml:space="preserve">
(Gross Monthly Pension*12)-(Exemptions*Number of State Exemptions)</t>
        </r>
      </text>
    </comment>
    <comment ref="K48" authorId="0" shapeId="0" xr:uid="{00000000-0006-0000-0300-000002000000}">
      <text>
        <r>
          <rPr>
            <b/>
            <sz val="9"/>
            <color indexed="81"/>
            <rFont val="Tahoma"/>
            <family val="2"/>
          </rPr>
          <t>Benjamin Castonguay:</t>
        </r>
        <r>
          <rPr>
            <sz val="9"/>
            <color indexed="81"/>
            <rFont val="Tahoma"/>
            <family val="2"/>
          </rPr>
          <t xml:space="preserve">
((Taxable Amount - OVER)*Percentage + Withhold)/12</t>
        </r>
      </text>
    </comment>
  </commentList>
</comments>
</file>

<file path=xl/sharedStrings.xml><?xml version="1.0" encoding="utf-8"?>
<sst xmlns="http://schemas.openxmlformats.org/spreadsheetml/2006/main" count="289" uniqueCount="127">
  <si>
    <t>Enter your gross monthly pension below, then fill in your current Federal and RI withholding elections.</t>
  </si>
  <si>
    <t>Gross Monthly Pension</t>
  </si>
  <si>
    <t>Federal Elections:</t>
  </si>
  <si>
    <t xml:space="preserve">   Federal Withholding</t>
  </si>
  <si>
    <t xml:space="preserve">   RI State Withholding</t>
  </si>
  <si>
    <t xml:space="preserve">   Number of Exemptions</t>
  </si>
  <si>
    <t>Net Pay (excl other deductions)</t>
  </si>
  <si>
    <t>RI Elections:</t>
  </si>
  <si>
    <t>Desired Monthly Federal Withholding</t>
  </si>
  <si>
    <t>Desired Monthly RI Withholding</t>
  </si>
  <si>
    <t>Single Withholding</t>
  </si>
  <si>
    <t>Married Withholding</t>
  </si>
  <si>
    <t>Exemptions</t>
  </si>
  <si>
    <t>Single</t>
  </si>
  <si>
    <t>Married</t>
  </si>
  <si>
    <t>Federal</t>
  </si>
  <si>
    <t xml:space="preserve"> </t>
  </si>
  <si>
    <t>Federal Taxes</t>
  </si>
  <si>
    <t>Over</t>
  </si>
  <si>
    <t>Plus %</t>
  </si>
  <si>
    <t>To Withhold</t>
  </si>
  <si>
    <t>In the following link :</t>
  </si>
  <si>
    <t>https://www.irs.gov/pub/irs-pdf</t>
  </si>
  <si>
    <t>Updates the following field in the "Data" tab</t>
  </si>
  <si>
    <t xml:space="preserve">Exemptions : </t>
  </si>
  <si>
    <t>Repeat for "(b) MARRIED person"</t>
  </si>
  <si>
    <t>SINGLE</t>
  </si>
  <si>
    <t>MARRIED</t>
  </si>
  <si>
    <t xml:space="preserve">Under "(a) SINGLE person" fill the "Over" and "Plus %" columns </t>
  </si>
  <si>
    <t>Years</t>
  </si>
  <si>
    <t>State Taxes</t>
  </si>
  <si>
    <t>Employee</t>
  </si>
  <si>
    <t>Search for : YYYY Rhode Island Employer's Income Tax Withholding Tables</t>
  </si>
  <si>
    <t>Example : "2018 Rhode Island Employer's Income Tax Withholding Tables"</t>
  </si>
  <si>
    <t>Single and Married</t>
  </si>
  <si>
    <t>Look for : "TABLE 7 - ANNUAL PAYROLL PERIOD" under the "YYYY RI WITHHOLDING TABLES" section</t>
  </si>
  <si>
    <t>Look for : "WITHHOLDING TAX EXEMPTION AMOUNTS"</t>
  </si>
  <si>
    <t>Look for : "Table 5. Percentage Method-2018 for One Withholding Allowance"</t>
  </si>
  <si>
    <t>But not over</t>
  </si>
  <si>
    <t>Withhold</t>
  </si>
  <si>
    <t xml:space="preserve">plus </t>
  </si>
  <si>
    <t>Percentage</t>
  </si>
  <si>
    <t>State</t>
  </si>
  <si>
    <t>http://www.tax.ri.gov/</t>
  </si>
  <si>
    <t>Used Data</t>
  </si>
  <si>
    <t>Calculation</t>
  </si>
  <si>
    <t>Used Range</t>
  </si>
  <si>
    <t>Taxable Amount</t>
  </si>
  <si>
    <t>Tax Year Calculation</t>
  </si>
  <si>
    <t>Employee Withholding</t>
  </si>
  <si>
    <t>Federal Withholding</t>
  </si>
  <si>
    <t>State Withholding</t>
  </si>
  <si>
    <t>Change to have Desired Federal Withholding:</t>
  </si>
  <si>
    <t>Desired Withholding</t>
  </si>
  <si>
    <t>Actual Withholding</t>
  </si>
  <si>
    <t>Calculated Federal Withholding matches Desired Amount</t>
  </si>
  <si>
    <t>Decrease Additional Withholding for Federal Elections</t>
  </si>
  <si>
    <t>Message</t>
  </si>
  <si>
    <t>Condition</t>
  </si>
  <si>
    <t>Change to have Desired State Withholding:</t>
  </si>
  <si>
    <t>Calculated RI Withholding matches Desired Amount</t>
  </si>
  <si>
    <t>Decrease Additional Withholding for RI Elections</t>
  </si>
  <si>
    <t>Increase RI Number of Exemptions until calculated RI Withholding is less than desired</t>
  </si>
  <si>
    <t>Data Tab</t>
  </si>
  <si>
    <t>TaxCalculation Tab</t>
  </si>
  <si>
    <t>Update the File for a New Year</t>
  </si>
  <si>
    <t>Change the range of the three "tbl_..." variables from this file so they include the new year</t>
  </si>
  <si>
    <t>In the "Data" Tab, select the 3 columns from last year (Over, Plus% and To Withhold), copy and then click on "Insert Copied Cells"</t>
  </si>
  <si>
    <t>Change the year value and erase the data in the yellow cells for that specific year only (Over, Plus% and Exception)</t>
  </si>
  <si>
    <t>To do so, click on "Formulas - Name Manager" and change the Reference Cells of the "tbl_FedTaxData", "tbl_StateTaxData" and "tbl_Years" variables</t>
  </si>
  <si>
    <t>*Note: The PDF might be in the second page.</t>
  </si>
  <si>
    <t>The "Annually" amount in this Table should be used to fill the "Federal Taxes - Exemption" value in the "Data" Tab</t>
  </si>
  <si>
    <t>Validate that the amounts in the column "To Withhold" fits with the one from the Table 7 (the amount associated with the percentage)</t>
  </si>
  <si>
    <t>The "Annually" amount in this Table should be used to fill the "State Taxes - Exemption" value in the "Data" Tab</t>
  </si>
  <si>
    <t>Fill the "Over" and "Plus %" columns accordingly</t>
  </si>
  <si>
    <t>*Note that there is no distinction between Single and Married for RI Taxes</t>
  </si>
  <si>
    <t>Validate that the amounts in the column "To Withhold" fits with the one from the above table (the amount associated with the percentage)</t>
  </si>
  <si>
    <t>Update the "Tax Year Calculation" value in the "TaxCalculation" tab</t>
  </si>
  <si>
    <t>Last Steps</t>
  </si>
  <si>
    <t>Hide the blue tabs</t>
  </si>
  <si>
    <t xml:space="preserve">Lock the Tax_Calculator tab in "Reviews - Protect Sheet" </t>
  </si>
  <si>
    <t>Lock the file in "Reviews - Protect Workbook"</t>
  </si>
  <si>
    <t>*Unselect the first option</t>
  </si>
  <si>
    <t>Look for : "Worksheet 5. Employer’s Withholding Worksheet for
Percentage Method Tables for Manual Payroll Systems
With Forms W-4 From 2019 or Earlier"</t>
  </si>
  <si>
    <t>Search for : YYYY Publ 15-T (PDF)</t>
  </si>
  <si>
    <t>Example : "2018 Publ 15-T(PDF)"</t>
  </si>
  <si>
    <t>Look for : "Percentage Method Tables for Automated Payroll Systems" table under "STANDARD Withholding Rate Schedules"</t>
  </si>
  <si>
    <t>Head of household</t>
  </si>
  <si>
    <t xml:space="preserve">   Marital Status</t>
  </si>
  <si>
    <t>HEAD OF HOUSEHOLD</t>
  </si>
  <si>
    <t>Head of Household</t>
  </si>
  <si>
    <t>Filling status deduction</t>
  </si>
  <si>
    <t>Otherwise</t>
  </si>
  <si>
    <t>HoH Withholding</t>
  </si>
  <si>
    <t>(old sheet)</t>
  </si>
  <si>
    <t>Used Range (old)</t>
  </si>
  <si>
    <t xml:space="preserve">Based on the former calculation of the federal tax withholding. </t>
  </si>
  <si>
    <t>Computational bridge</t>
  </si>
  <si>
    <t>Marital status</t>
  </si>
  <si>
    <t>Single or Married filing seperately</t>
  </si>
  <si>
    <t>Married filing jointly or Qualifying widow(er)</t>
  </si>
  <si>
    <t xml:space="preserve">   Total W-2 Income and Additional Pension (Annual)</t>
  </si>
  <si>
    <t xml:space="preserve">   Dependent and Other Credits (Annual)</t>
  </si>
  <si>
    <t xml:space="preserve">   Other Income (Annual)</t>
  </si>
  <si>
    <t xml:space="preserve">   Deductions (Annual)</t>
  </si>
  <si>
    <t>Total W-2 Income and Additional Pension (Annual)</t>
  </si>
  <si>
    <t>Dependent and Other Credits (Annual)</t>
  </si>
  <si>
    <t>Other Income (Annual)</t>
  </si>
  <si>
    <t>Deductions (Annual)</t>
  </si>
  <si>
    <t xml:space="preserve">   Additional Withholding (Monthly)</t>
  </si>
  <si>
    <t>Additional Withholding (Monthly)</t>
  </si>
  <si>
    <t>Please be sure to select a Marital Status as this field is required.</t>
  </si>
  <si>
    <t xml:space="preserve">The Desired Monthly Federal Withholding amount you entered is less than the calculated amount. Please increase the Desired Monthly Withholding amount or adjust your Annual Credits or Annual Deductions as directed by your Tax Advisor. </t>
  </si>
  <si>
    <t>1. Enter your gross taxable monthly pension below, then fill in your Federal and RI withholding elections.</t>
  </si>
  <si>
    <t>Result</t>
  </si>
  <si>
    <t>Input</t>
  </si>
  <si>
    <t>1(c)</t>
  </si>
  <si>
    <t>2(b(iii)</t>
  </si>
  <si>
    <t>4(a)</t>
  </si>
  <si>
    <t>4(b)</t>
  </si>
  <si>
    <t>4(c)</t>
  </si>
  <si>
    <t>2. If you have a desired withholding amount for either Federal or RI, enter that amount and a red message (under "Result") will indicate the "Additional Withholding" amount you need to input in W-4P box 4(c) in order to have that withholding amount taken from your monthly pension.</t>
  </si>
  <si>
    <t>W-4P box:</t>
  </si>
  <si>
    <r>
      <t xml:space="preserve">   Marital / Filing Status</t>
    </r>
    <r>
      <rPr>
        <sz val="12"/>
        <color theme="5"/>
        <rFont val="Calibri"/>
        <family val="2"/>
      </rPr>
      <t>*</t>
    </r>
  </si>
  <si>
    <r>
      <t>Gross Monthly Pension</t>
    </r>
    <r>
      <rPr>
        <sz val="12"/>
        <color theme="5"/>
        <rFont val="Calibri"/>
        <family val="2"/>
      </rPr>
      <t>*</t>
    </r>
  </si>
  <si>
    <r>
      <t>*</t>
    </r>
    <r>
      <rPr>
        <i/>
        <sz val="12"/>
        <rFont val="Calibri"/>
        <family val="2"/>
      </rPr>
      <t>required</t>
    </r>
  </si>
  <si>
    <t>Single or Married filing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</si>
</sst>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 &quot;$&quot;"/>
    <numFmt numFmtId="165" formatCode="[$$-409]#,##0.00"/>
  </numFmts>
  <fonts count="39" x14ac:knownFonts="1">
    <font>
      <sz val="11"/>
      <color theme="1"/>
      <name val="Calibri"/>
      <family val="2"/>
      <scheme val="minor"/>
    </font>
    <font>
      <sz val="11"/>
      <color theme="1"/>
      <name val="Calibri"/>
      <family val="2"/>
      <scheme val="minor"/>
    </font>
    <font>
      <sz val="10"/>
      <name val="Arial"/>
      <family val="2"/>
    </font>
    <font>
      <b/>
      <sz val="10"/>
      <name val="Arial"/>
      <family val="2"/>
    </font>
    <font>
      <sz val="20"/>
      <name val="Arial"/>
      <family val="2"/>
    </font>
    <font>
      <b/>
      <sz val="11"/>
      <color theme="1"/>
      <name val="Calibri"/>
      <family val="2"/>
      <scheme val="minor"/>
    </font>
    <font>
      <b/>
      <sz val="11"/>
      <color theme="0"/>
      <name val="Calibri"/>
      <family val="2"/>
      <scheme val="minor"/>
    </font>
    <font>
      <sz val="11"/>
      <color theme="0"/>
      <name val="Calibri"/>
      <family val="2"/>
      <scheme val="minor"/>
    </font>
    <font>
      <i/>
      <sz val="11"/>
      <color theme="1"/>
      <name val="Calibri"/>
      <family val="2"/>
      <scheme val="minor"/>
    </font>
    <font>
      <b/>
      <sz val="11"/>
      <name val="Calibri"/>
      <family val="2"/>
      <scheme val="minor"/>
    </font>
    <font>
      <b/>
      <u/>
      <sz val="11"/>
      <color theme="1"/>
      <name val="Calibri"/>
      <family val="2"/>
      <scheme val="minor"/>
    </font>
    <font>
      <b/>
      <sz val="16"/>
      <color theme="3"/>
      <name val="Calibri"/>
      <family val="2"/>
      <scheme val="minor"/>
    </font>
    <font>
      <b/>
      <u/>
      <sz val="12"/>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name val="Calibri"/>
      <family val="2"/>
      <scheme val="minor"/>
    </font>
    <font>
      <u/>
      <sz val="11"/>
      <color theme="10"/>
      <name val="Calibri"/>
      <family val="2"/>
      <scheme val="minor"/>
    </font>
    <font>
      <sz val="10"/>
      <color rgb="FFFF0000"/>
      <name val="Arial"/>
      <family val="2"/>
    </font>
    <font>
      <b/>
      <sz val="12"/>
      <name val="Arial"/>
      <family val="2"/>
    </font>
    <font>
      <sz val="11"/>
      <color theme="1"/>
      <name val="Calibri"/>
      <family val="2"/>
    </font>
    <font>
      <b/>
      <sz val="11"/>
      <color theme="1"/>
      <name val="Calibri"/>
      <family val="2"/>
    </font>
    <font>
      <sz val="11"/>
      <name val="Calibri"/>
      <family val="2"/>
    </font>
    <font>
      <sz val="12"/>
      <name val="Calibri"/>
      <family val="2"/>
    </font>
    <font>
      <b/>
      <sz val="12"/>
      <name val="Calibri"/>
      <family val="2"/>
    </font>
    <font>
      <b/>
      <u/>
      <sz val="12"/>
      <name val="Calibri"/>
      <family val="2"/>
    </font>
    <font>
      <sz val="12"/>
      <color theme="1"/>
      <name val="Calibri"/>
      <family val="2"/>
    </font>
    <font>
      <b/>
      <sz val="14"/>
      <color rgb="FF008000"/>
      <name val="Calibri"/>
      <family val="2"/>
    </font>
    <font>
      <b/>
      <sz val="14"/>
      <color theme="5"/>
      <name val="Calibri"/>
      <family val="2"/>
    </font>
    <font>
      <i/>
      <sz val="12"/>
      <name val="Calibri"/>
      <family val="2"/>
    </font>
    <font>
      <b/>
      <sz val="12"/>
      <color rgb="FF002060"/>
      <name val="Calibri"/>
      <family val="2"/>
    </font>
    <font>
      <i/>
      <sz val="11"/>
      <name val="Calibri"/>
      <family val="2"/>
    </font>
    <font>
      <i/>
      <sz val="12"/>
      <color theme="5"/>
      <name val="Calibri"/>
      <family val="2"/>
    </font>
    <font>
      <sz val="12"/>
      <color theme="5"/>
      <name val="Calibri"/>
      <family val="2"/>
    </font>
    <font>
      <b/>
      <sz val="12"/>
      <color theme="5"/>
      <name val="Calibri"/>
      <family val="2"/>
    </font>
    <font>
      <b/>
      <sz val="14"/>
      <color rgb="FFFF0000"/>
      <name val="Calibri"/>
      <family val="2"/>
    </font>
    <font>
      <b/>
      <sz val="20"/>
      <color theme="3"/>
      <name val="Calibri"/>
      <family val="2"/>
    </font>
    <font>
      <sz val="11"/>
      <color rgb="FF0070C0"/>
      <name val="Calibri"/>
      <family val="2"/>
    </font>
    <font>
      <b/>
      <u/>
      <sz val="11"/>
      <color rgb="FF0070C0"/>
      <name val="Calibri"/>
      <family val="2"/>
    </font>
  </fonts>
  <fills count="16">
    <fill>
      <patternFill patternType="none"/>
    </fill>
    <fill>
      <patternFill patternType="gray125"/>
    </fill>
    <fill>
      <patternFill patternType="solid">
        <fgColor indexed="13"/>
        <bgColor indexed="64"/>
      </patternFill>
    </fill>
    <fill>
      <patternFill patternType="solid">
        <fgColor rgb="FFFFC000"/>
        <bgColor indexed="64"/>
      </patternFill>
    </fill>
    <fill>
      <patternFill patternType="solid">
        <fgColor theme="0" tint="-0.499984740745262"/>
        <bgColor indexed="64"/>
      </patternFill>
    </fill>
    <fill>
      <patternFill patternType="solid">
        <fgColor theme="3"/>
        <bgColor indexed="64"/>
      </patternFill>
    </fill>
    <fill>
      <patternFill patternType="solid">
        <fgColor theme="3"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rgb="FFFF6699"/>
        <bgColor indexed="64"/>
      </patternFill>
    </fill>
    <fill>
      <patternFill patternType="solid">
        <fgColor rgb="FFFFCC00"/>
        <bgColor indexed="64"/>
      </patternFill>
    </fill>
    <fill>
      <patternFill patternType="solid">
        <fgColor rgb="FF9900CC"/>
        <bgColor indexed="64"/>
      </patternFill>
    </fill>
    <fill>
      <patternFill patternType="solid">
        <fgColor rgb="FF0000FF"/>
        <bgColor indexed="64"/>
      </patternFill>
    </fill>
    <fill>
      <patternFill patternType="solid">
        <fgColor rgb="FFFF0000"/>
        <bgColor indexed="64"/>
      </patternFill>
    </fill>
    <fill>
      <patternFill patternType="solid">
        <fgColor rgb="FF00CC00"/>
        <bgColor indexed="64"/>
      </patternFill>
    </fill>
    <fill>
      <patternFill patternType="solid">
        <fgColor theme="6" tint="0.79998168889431442"/>
        <bgColor indexed="64"/>
      </patternFill>
    </fill>
  </fills>
  <borders count="4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0" fontId="17" fillId="0" borderId="0" applyNumberFormat="0" applyFill="0" applyBorder="0" applyAlignment="0" applyProtection="0"/>
  </cellStyleXfs>
  <cellXfs count="184">
    <xf numFmtId="0" fontId="0" fillId="0" borderId="0" xfId="0"/>
    <xf numFmtId="0" fontId="2" fillId="0" borderId="0" xfId="2"/>
    <xf numFmtId="0" fontId="3" fillId="0" borderId="0" xfId="2" applyFont="1"/>
    <xf numFmtId="43" fontId="3" fillId="0" borderId="0" xfId="2" applyNumberFormat="1" applyFont="1"/>
    <xf numFmtId="1" fontId="2" fillId="0" borderId="0" xfId="2" applyNumberFormat="1"/>
    <xf numFmtId="43" fontId="2" fillId="2" borderId="0" xfId="3" applyFill="1" applyProtection="1">
      <protection locked="0"/>
    </xf>
    <xf numFmtId="1" fontId="2" fillId="2" borderId="0" xfId="2" applyNumberFormat="1" applyFill="1" applyProtection="1">
      <protection locked="0"/>
    </xf>
    <xf numFmtId="0" fontId="2" fillId="0" borderId="0" xfId="1" applyNumberFormat="1" applyFont="1"/>
    <xf numFmtId="43" fontId="2" fillId="2" borderId="0" xfId="2" applyNumberFormat="1" applyFill="1" applyAlignment="1" applyProtection="1">
      <alignment horizontal="right"/>
      <protection locked="0"/>
    </xf>
    <xf numFmtId="0" fontId="0" fillId="0" borderId="0" xfId="0" quotePrefix="1"/>
    <xf numFmtId="0" fontId="0" fillId="0" borderId="0" xfId="0" applyAlignment="1">
      <alignment horizontal="center"/>
    </xf>
    <xf numFmtId="165" fontId="0" fillId="0" borderId="0" xfId="0" applyNumberFormat="1"/>
    <xf numFmtId="0" fontId="8" fillId="0" borderId="0" xfId="0" applyFont="1"/>
    <xf numFmtId="0" fontId="5" fillId="0" borderId="0" xfId="0" applyFont="1"/>
    <xf numFmtId="164" fontId="0" fillId="0" borderId="17" xfId="0" applyNumberFormat="1" applyBorder="1" applyAlignment="1">
      <alignment horizontal="center"/>
    </xf>
    <xf numFmtId="164" fontId="0" fillId="0" borderId="10" xfId="0" applyNumberFormat="1" applyBorder="1" applyAlignment="1">
      <alignment horizontal="center"/>
    </xf>
    <xf numFmtId="164" fontId="0" fillId="0" borderId="18" xfId="0" applyNumberFormat="1" applyBorder="1" applyAlignment="1">
      <alignment horizontal="center"/>
    </xf>
    <xf numFmtId="164" fontId="0" fillId="0" borderId="19" xfId="0" applyNumberFormat="1" applyBorder="1" applyAlignment="1">
      <alignment horizontal="center"/>
    </xf>
    <xf numFmtId="164" fontId="0" fillId="0" borderId="9" xfId="0" applyNumberFormat="1" applyBorder="1" applyAlignment="1">
      <alignment horizontal="center"/>
    </xf>
    <xf numFmtId="164" fontId="0" fillId="0" borderId="20" xfId="0" applyNumberFormat="1" applyBorder="1" applyAlignment="1">
      <alignment horizontal="center"/>
    </xf>
    <xf numFmtId="164" fontId="0" fillId="0" borderId="21" xfId="0" applyNumberFormat="1" applyBorder="1" applyAlignment="1">
      <alignment horizontal="center"/>
    </xf>
    <xf numFmtId="164" fontId="0" fillId="0" borderId="22" xfId="0" applyNumberFormat="1" applyBorder="1" applyAlignment="1">
      <alignment horizontal="center"/>
    </xf>
    <xf numFmtId="164" fontId="0" fillId="0" borderId="23" xfId="0" applyNumberFormat="1" applyBorder="1" applyAlignment="1">
      <alignment horizontal="center"/>
    </xf>
    <xf numFmtId="0" fontId="6" fillId="5" borderId="5" xfId="0" applyFont="1" applyFill="1" applyBorder="1" applyAlignment="1">
      <alignment horizontal="center"/>
    </xf>
    <xf numFmtId="164" fontId="0" fillId="7" borderId="17" xfId="0" applyNumberFormat="1" applyFill="1" applyBorder="1" applyAlignment="1">
      <alignment horizontal="center"/>
    </xf>
    <xf numFmtId="10" fontId="0" fillId="7" borderId="10" xfId="0" applyNumberFormat="1" applyFill="1" applyBorder="1" applyAlignment="1">
      <alignment horizontal="center"/>
    </xf>
    <xf numFmtId="164" fontId="0" fillId="7" borderId="19" xfId="0" applyNumberFormat="1" applyFill="1" applyBorder="1" applyAlignment="1">
      <alignment horizontal="center"/>
    </xf>
    <xf numFmtId="10" fontId="0" fillId="7" borderId="9" xfId="0" applyNumberFormat="1" applyFill="1" applyBorder="1" applyAlignment="1">
      <alignment horizontal="center"/>
    </xf>
    <xf numFmtId="164" fontId="0" fillId="7" borderId="21" xfId="0" applyNumberFormat="1" applyFill="1" applyBorder="1" applyAlignment="1">
      <alignment horizontal="center"/>
    </xf>
    <xf numFmtId="10" fontId="0" fillId="7" borderId="22" xfId="0" applyNumberFormat="1" applyFill="1" applyBorder="1" applyAlignment="1">
      <alignment horizontal="center"/>
    </xf>
    <xf numFmtId="0" fontId="6" fillId="5" borderId="2" xfId="0" applyFont="1" applyFill="1" applyBorder="1" applyAlignment="1">
      <alignment horizontal="center"/>
    </xf>
    <xf numFmtId="0" fontId="5" fillId="6" borderId="11" xfId="0" applyFont="1" applyFill="1" applyBorder="1" applyAlignment="1">
      <alignment horizontal="center"/>
    </xf>
    <xf numFmtId="0" fontId="5" fillId="6" borderId="12" xfId="0" applyFont="1" applyFill="1" applyBorder="1" applyAlignment="1">
      <alignment horizontal="center" wrapText="1"/>
    </xf>
    <xf numFmtId="0" fontId="5" fillId="6" borderId="13" xfId="0" applyFont="1" applyFill="1" applyBorder="1" applyAlignment="1">
      <alignment horizontal="center"/>
    </xf>
    <xf numFmtId="164" fontId="5" fillId="6" borderId="24" xfId="0" applyNumberFormat="1" applyFont="1" applyFill="1" applyBorder="1" applyAlignment="1">
      <alignment horizontal="center"/>
    </xf>
    <xf numFmtId="164" fontId="5" fillId="6" borderId="25" xfId="0" applyNumberFormat="1" applyFont="1" applyFill="1" applyBorder="1" applyAlignment="1">
      <alignment horizontal="center" wrapText="1"/>
    </xf>
    <xf numFmtId="164" fontId="5" fillId="6" borderId="26" xfId="0" applyNumberFormat="1" applyFont="1" applyFill="1" applyBorder="1" applyAlignment="1">
      <alignment horizontal="center"/>
    </xf>
    <xf numFmtId="0" fontId="10" fillId="0" borderId="0" xfId="0" applyFont="1"/>
    <xf numFmtId="0" fontId="6" fillId="5" borderId="2" xfId="0" applyFont="1" applyFill="1" applyBorder="1"/>
    <xf numFmtId="0" fontId="6" fillId="5" borderId="3" xfId="0" applyFont="1" applyFill="1" applyBorder="1"/>
    <xf numFmtId="0" fontId="6" fillId="5" borderId="4" xfId="0" applyFont="1" applyFill="1" applyBorder="1"/>
    <xf numFmtId="0" fontId="6" fillId="5" borderId="3" xfId="0" applyFont="1" applyFill="1" applyBorder="1" applyAlignment="1">
      <alignment horizontal="center"/>
    </xf>
    <xf numFmtId="164" fontId="0" fillId="0" borderId="0" xfId="0" applyNumberFormat="1"/>
    <xf numFmtId="164" fontId="0" fillId="0" borderId="0" xfId="0" applyNumberFormat="1" applyAlignment="1">
      <alignment horizontal="center"/>
    </xf>
    <xf numFmtId="0" fontId="6" fillId="5" borderId="1" xfId="0" applyFont="1" applyFill="1" applyBorder="1"/>
    <xf numFmtId="0" fontId="5" fillId="6" borderId="12" xfId="0" applyFont="1" applyFill="1" applyBorder="1" applyAlignment="1">
      <alignment horizontal="center"/>
    </xf>
    <xf numFmtId="164" fontId="5" fillId="6" borderId="11" xfId="0" applyNumberFormat="1" applyFont="1" applyFill="1" applyBorder="1" applyAlignment="1">
      <alignment horizontal="center"/>
    </xf>
    <xf numFmtId="164" fontId="5" fillId="6" borderId="12" xfId="0" applyNumberFormat="1" applyFont="1" applyFill="1" applyBorder="1" applyAlignment="1">
      <alignment horizontal="center"/>
    </xf>
    <xf numFmtId="164" fontId="5" fillId="0" borderId="10" xfId="0" applyNumberFormat="1" applyFont="1" applyBorder="1" applyAlignment="1">
      <alignment horizontal="right"/>
    </xf>
    <xf numFmtId="0" fontId="5" fillId="0" borderId="10" xfId="0" applyFont="1" applyBorder="1" applyAlignment="1">
      <alignment horizontal="center"/>
    </xf>
    <xf numFmtId="10" fontId="5" fillId="0" borderId="18" xfId="0" applyNumberFormat="1" applyFont="1" applyBorder="1" applyAlignment="1">
      <alignment horizontal="left"/>
    </xf>
    <xf numFmtId="164" fontId="5" fillId="0" borderId="9" xfId="0" applyNumberFormat="1" applyFont="1" applyBorder="1" applyAlignment="1">
      <alignment horizontal="right"/>
    </xf>
    <xf numFmtId="0" fontId="5" fillId="0" borderId="9" xfId="0" applyFont="1" applyBorder="1" applyAlignment="1">
      <alignment horizontal="center"/>
    </xf>
    <xf numFmtId="10" fontId="5" fillId="0" borderId="20" xfId="0" applyNumberFormat="1" applyFont="1" applyBorder="1" applyAlignment="1">
      <alignment horizontal="left"/>
    </xf>
    <xf numFmtId="164" fontId="5" fillId="0" borderId="22" xfId="0" applyNumberFormat="1" applyFont="1" applyBorder="1" applyAlignment="1">
      <alignment horizontal="right"/>
    </xf>
    <xf numFmtId="0" fontId="5" fillId="0" borderId="22" xfId="0" applyFont="1" applyBorder="1" applyAlignment="1">
      <alignment horizontal="center"/>
    </xf>
    <xf numFmtId="10" fontId="5" fillId="0" borderId="23" xfId="0" applyNumberFormat="1" applyFont="1" applyBorder="1" applyAlignment="1">
      <alignment horizontal="left"/>
    </xf>
    <xf numFmtId="0" fontId="11" fillId="0" borderId="0" xfId="0" applyFont="1"/>
    <xf numFmtId="0" fontId="12" fillId="0" borderId="0" xfId="0" applyFont="1"/>
    <xf numFmtId="0" fontId="7" fillId="0" borderId="0" xfId="0" applyFont="1"/>
    <xf numFmtId="164" fontId="0" fillId="0" borderId="4" xfId="0" applyNumberFormat="1" applyBorder="1"/>
    <xf numFmtId="0" fontId="5" fillId="6" borderId="14" xfId="0" applyFont="1" applyFill="1" applyBorder="1" applyAlignment="1">
      <alignment horizontal="center"/>
    </xf>
    <xf numFmtId="10" fontId="5" fillId="0" borderId="15" xfId="0" applyNumberFormat="1" applyFont="1" applyBorder="1" applyAlignment="1">
      <alignment horizontal="left"/>
    </xf>
    <xf numFmtId="10" fontId="5" fillId="0" borderId="16" xfId="0" applyNumberFormat="1" applyFont="1" applyBorder="1" applyAlignment="1">
      <alignment horizontal="left"/>
    </xf>
    <xf numFmtId="10" fontId="5" fillId="0" borderId="33" xfId="0" applyNumberFormat="1" applyFont="1" applyBorder="1" applyAlignment="1">
      <alignment horizontal="left"/>
    </xf>
    <xf numFmtId="0" fontId="9" fillId="3" borderId="1" xfId="0" applyFont="1" applyFill="1" applyBorder="1" applyAlignment="1">
      <alignment horizontal="center"/>
    </xf>
    <xf numFmtId="0" fontId="5" fillId="0" borderId="36"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6" fillId="0" borderId="0" xfId="0" applyFont="1"/>
    <xf numFmtId="164" fontId="0" fillId="0" borderId="8" xfId="0" applyNumberFormat="1" applyBorder="1"/>
    <xf numFmtId="0" fontId="6" fillId="5" borderId="29" xfId="0" applyFont="1" applyFill="1" applyBorder="1"/>
    <xf numFmtId="0" fontId="0" fillId="7" borderId="4" xfId="0" applyFill="1" applyBorder="1" applyAlignment="1">
      <alignment horizontal="center"/>
    </xf>
    <xf numFmtId="10" fontId="0" fillId="7" borderId="44" xfId="0" applyNumberFormat="1" applyFill="1" applyBorder="1" applyAlignment="1">
      <alignment horizontal="center"/>
    </xf>
    <xf numFmtId="164" fontId="0" fillId="0" borderId="45" xfId="0" applyNumberFormat="1" applyBorder="1" applyAlignment="1">
      <alignment horizontal="center"/>
    </xf>
    <xf numFmtId="164" fontId="0" fillId="7" borderId="43" xfId="0" applyNumberFormat="1" applyFill="1" applyBorder="1" applyAlignment="1">
      <alignment horizontal="center"/>
    </xf>
    <xf numFmtId="0" fontId="15" fillId="0" borderId="0" xfId="0" applyFont="1"/>
    <xf numFmtId="0" fontId="16" fillId="0" borderId="0" xfId="0" applyFont="1"/>
    <xf numFmtId="0" fontId="5" fillId="0" borderId="0" xfId="0" applyFont="1" applyAlignment="1">
      <alignment horizontal="center"/>
    </xf>
    <xf numFmtId="0" fontId="17" fillId="0" borderId="0" xfId="4"/>
    <xf numFmtId="0" fontId="0" fillId="0" borderId="0" xfId="0" applyAlignment="1">
      <alignment wrapText="1"/>
    </xf>
    <xf numFmtId="164" fontId="5" fillId="0" borderId="0" xfId="0" applyNumberFormat="1" applyFont="1" applyAlignment="1">
      <alignment horizontal="right"/>
    </xf>
    <xf numFmtId="10" fontId="5" fillId="0" borderId="0" xfId="0" applyNumberFormat="1" applyFont="1" applyAlignment="1">
      <alignment horizontal="left"/>
    </xf>
    <xf numFmtId="164" fontId="0" fillId="7" borderId="1" xfId="0" applyNumberFormat="1" applyFill="1" applyBorder="1" applyAlignment="1">
      <alignment horizontal="center"/>
    </xf>
    <xf numFmtId="164" fontId="5" fillId="6" borderId="1" xfId="0" applyNumberFormat="1" applyFont="1" applyFill="1" applyBorder="1" applyAlignment="1">
      <alignment horizontal="center"/>
    </xf>
    <xf numFmtId="43" fontId="2" fillId="0" borderId="0" xfId="3" applyFont="1" applyFill="1" applyBorder="1"/>
    <xf numFmtId="164" fontId="0" fillId="0" borderId="1" xfId="0" applyNumberFormat="1" applyBorder="1"/>
    <xf numFmtId="0" fontId="19" fillId="0" borderId="0" xfId="2" applyFont="1"/>
    <xf numFmtId="0" fontId="0" fillId="8" borderId="0" xfId="0" applyFill="1" applyAlignment="1">
      <alignment wrapText="1" shrinkToFit="1"/>
    </xf>
    <xf numFmtId="4" fontId="0" fillId="8" borderId="0" xfId="0" applyNumberFormat="1" applyFill="1"/>
    <xf numFmtId="0" fontId="9" fillId="0" borderId="0" xfId="0" applyFont="1" applyAlignment="1">
      <alignment horizontal="center"/>
    </xf>
    <xf numFmtId="4" fontId="0" fillId="0" borderId="0" xfId="0" applyNumberFormat="1"/>
    <xf numFmtId="0" fontId="0" fillId="9" borderId="0" xfId="0" applyFill="1"/>
    <xf numFmtId="0" fontId="0" fillId="10" borderId="0" xfId="0" applyFill="1"/>
    <xf numFmtId="0" fontId="0" fillId="11" borderId="0" xfId="0" applyFill="1"/>
    <xf numFmtId="0" fontId="0" fillId="12" borderId="0" xfId="0" applyFill="1"/>
    <xf numFmtId="0" fontId="0" fillId="13" borderId="0" xfId="0" applyFill="1"/>
    <xf numFmtId="0" fontId="0" fillId="14" borderId="0" xfId="0" applyFill="1"/>
    <xf numFmtId="0" fontId="20" fillId="0" borderId="0" xfId="0" applyFont="1"/>
    <xf numFmtId="0" fontId="21" fillId="0" borderId="0" xfId="0" applyFont="1"/>
    <xf numFmtId="4" fontId="20" fillId="0" borderId="0" xfId="0" applyNumberFormat="1" applyFont="1"/>
    <xf numFmtId="0" fontId="22" fillId="0" borderId="0" xfId="2" applyFont="1"/>
    <xf numFmtId="0" fontId="0" fillId="0" borderId="0" xfId="0" applyAlignment="1">
      <alignment vertical="center"/>
    </xf>
    <xf numFmtId="0" fontId="23" fillId="0" borderId="0" xfId="2" applyFont="1"/>
    <xf numFmtId="0" fontId="22" fillId="0" borderId="0" xfId="2" applyFont="1" applyAlignment="1">
      <alignment horizontal="center"/>
    </xf>
    <xf numFmtId="0" fontId="20" fillId="0" borderId="0" xfId="0" applyFont="1" applyAlignment="1">
      <alignment horizontal="center" vertical="center"/>
    </xf>
    <xf numFmtId="0" fontId="22" fillId="0" borderId="0" xfId="2" applyFont="1" applyAlignment="1">
      <alignment horizontal="center" vertical="center"/>
    </xf>
    <xf numFmtId="0" fontId="23" fillId="0" borderId="0" xfId="2" applyFont="1" applyAlignment="1">
      <alignment horizontal="right"/>
    </xf>
    <xf numFmtId="0" fontId="25" fillId="0" borderId="0" xfId="2" applyFont="1" applyAlignment="1">
      <alignment horizontal="right"/>
    </xf>
    <xf numFmtId="0" fontId="26" fillId="0" borderId="0" xfId="0" applyFont="1"/>
    <xf numFmtId="0" fontId="27" fillId="0" borderId="0" xfId="0" applyFont="1" applyAlignment="1">
      <alignment horizontal="center" vertical="center"/>
    </xf>
    <xf numFmtId="0" fontId="23" fillId="0" borderId="0" xfId="2" applyFont="1" applyAlignment="1">
      <alignment horizontal="right" vertical="center"/>
    </xf>
    <xf numFmtId="0" fontId="23" fillId="0" borderId="0" xfId="2" applyFont="1" applyAlignment="1">
      <alignment vertical="center"/>
    </xf>
    <xf numFmtId="0" fontId="30" fillId="0" borderId="0" xfId="2" applyFont="1" applyAlignment="1">
      <alignment horizontal="right" vertical="center"/>
    </xf>
    <xf numFmtId="0" fontId="22" fillId="0" borderId="0" xfId="2" applyFont="1" applyAlignment="1">
      <alignment vertical="center"/>
    </xf>
    <xf numFmtId="0" fontId="25" fillId="0" borderId="0" xfId="2" applyFont="1" applyAlignment="1">
      <alignment horizontal="right" vertical="center"/>
    </xf>
    <xf numFmtId="0" fontId="20" fillId="9" borderId="0" xfId="0" applyFont="1" applyFill="1" applyAlignment="1">
      <alignment vertical="center"/>
    </xf>
    <xf numFmtId="0" fontId="20" fillId="10" borderId="0" xfId="0" applyFont="1" applyFill="1" applyAlignment="1">
      <alignment vertical="center"/>
    </xf>
    <xf numFmtId="0" fontId="20" fillId="14" borderId="0" xfId="0" applyFont="1" applyFill="1" applyAlignment="1">
      <alignment vertical="center"/>
    </xf>
    <xf numFmtId="0" fontId="20" fillId="11" borderId="0" xfId="0" applyFont="1" applyFill="1" applyAlignment="1">
      <alignment vertical="center"/>
    </xf>
    <xf numFmtId="0" fontId="20" fillId="12" borderId="0" xfId="0" applyFont="1" applyFill="1" applyAlignment="1">
      <alignment vertical="center"/>
    </xf>
    <xf numFmtId="0" fontId="20" fillId="13" borderId="0" xfId="0" applyFont="1" applyFill="1" applyAlignment="1">
      <alignment vertical="center"/>
    </xf>
    <xf numFmtId="0" fontId="31" fillId="0" borderId="0" xfId="2" applyFont="1" applyAlignment="1">
      <alignment horizontal="center" vertical="center"/>
    </xf>
    <xf numFmtId="0" fontId="32" fillId="0" borderId="0" xfId="2" applyFont="1" applyAlignment="1">
      <alignment horizontal="right"/>
    </xf>
    <xf numFmtId="0" fontId="33" fillId="0" borderId="0" xfId="2" applyFont="1" applyAlignment="1">
      <alignment horizontal="right" vertical="center"/>
    </xf>
    <xf numFmtId="0" fontId="34" fillId="0" borderId="0" xfId="2" applyFont="1" applyAlignment="1">
      <alignment horizontal="right" vertical="center"/>
    </xf>
    <xf numFmtId="43" fontId="23" fillId="0" borderId="0" xfId="3" applyFont="1" applyFill="1" applyBorder="1" applyAlignment="1">
      <alignment vertical="center"/>
    </xf>
    <xf numFmtId="0" fontId="24" fillId="0" borderId="0" xfId="2" applyFont="1" applyAlignment="1">
      <alignment vertical="center"/>
    </xf>
    <xf numFmtId="43" fontId="24" fillId="0" borderId="0" xfId="2" applyNumberFormat="1" applyFont="1" applyAlignment="1">
      <alignment vertical="center"/>
    </xf>
    <xf numFmtId="43" fontId="23" fillId="15" borderId="9" xfId="3" applyFont="1" applyFill="1" applyBorder="1" applyAlignment="1" applyProtection="1">
      <alignment horizontal="center" vertical="center"/>
      <protection locked="0"/>
    </xf>
    <xf numFmtId="0" fontId="23" fillId="0" borderId="0" xfId="2" applyFont="1" applyAlignment="1">
      <alignment horizontal="center" vertical="center"/>
    </xf>
    <xf numFmtId="43" fontId="23" fillId="15" borderId="9" xfId="2" applyNumberFormat="1" applyFont="1" applyFill="1" applyBorder="1" applyAlignment="1" applyProtection="1">
      <alignment horizontal="center" vertical="center" wrapText="1" shrinkToFit="1"/>
      <protection locked="0"/>
    </xf>
    <xf numFmtId="1" fontId="23" fillId="0" borderId="0" xfId="2" applyNumberFormat="1" applyFont="1" applyAlignment="1">
      <alignment horizontal="center" vertical="center"/>
    </xf>
    <xf numFmtId="1" fontId="23" fillId="15" borderId="9" xfId="2" applyNumberFormat="1" applyFont="1" applyFill="1" applyBorder="1" applyAlignment="1" applyProtection="1">
      <alignment horizontal="center" vertical="center"/>
      <protection locked="0"/>
    </xf>
    <xf numFmtId="0" fontId="23" fillId="0" borderId="0" xfId="2" applyFont="1" applyAlignment="1">
      <alignment horizontal="left"/>
    </xf>
    <xf numFmtId="43" fontId="23" fillId="0" borderId="0" xfId="2" applyNumberFormat="1" applyFont="1" applyAlignment="1">
      <alignment horizontal="left"/>
    </xf>
    <xf numFmtId="0" fontId="26" fillId="0" borderId="0" xfId="0" applyFont="1" applyAlignment="1">
      <alignment horizontal="left"/>
    </xf>
    <xf numFmtId="0" fontId="0" fillId="0" borderId="0" xfId="0" applyAlignment="1">
      <alignment horizontal="left"/>
    </xf>
    <xf numFmtId="0" fontId="37" fillId="0" borderId="0" xfId="2" applyFont="1" applyAlignment="1">
      <alignment horizontal="center" vertical="center"/>
    </xf>
    <xf numFmtId="0" fontId="38" fillId="0" borderId="0" xfId="0" applyFont="1" applyAlignment="1">
      <alignment horizontal="center"/>
    </xf>
    <xf numFmtId="0" fontId="5" fillId="0" borderId="0" xfId="0" applyFont="1" applyAlignment="1">
      <alignment horizontal="center"/>
    </xf>
    <xf numFmtId="0" fontId="35" fillId="0" borderId="0" xfId="2" applyFont="1" applyAlignment="1">
      <alignment horizontal="left" vertical="top" wrapText="1"/>
    </xf>
    <xf numFmtId="0" fontId="36" fillId="0" borderId="0" xfId="2" applyFont="1" applyAlignment="1">
      <alignment horizontal="center" vertical="center" wrapText="1"/>
    </xf>
    <xf numFmtId="0" fontId="23" fillId="0" borderId="0" xfId="2" applyFont="1" applyAlignment="1">
      <alignment horizontal="left" vertical="center"/>
    </xf>
    <xf numFmtId="0" fontId="24" fillId="0" borderId="0" xfId="2" applyFont="1" applyAlignment="1">
      <alignment horizontal="left" vertical="center"/>
    </xf>
    <xf numFmtId="0" fontId="28" fillId="0" borderId="0" xfId="0" applyFont="1" applyAlignment="1">
      <alignment horizontal="center" vertical="center"/>
    </xf>
    <xf numFmtId="0" fontId="23" fillId="0" borderId="0" xfId="2" applyFont="1" applyAlignment="1">
      <alignment horizontal="left" vertical="center" wrapText="1"/>
    </xf>
    <xf numFmtId="0" fontId="4" fillId="0" borderId="0" xfId="2" applyFont="1" applyAlignment="1">
      <alignment horizontal="center" wrapText="1"/>
    </xf>
    <xf numFmtId="0" fontId="2" fillId="0" borderId="0" xfId="2" applyAlignment="1">
      <alignment horizontal="center"/>
    </xf>
    <xf numFmtId="0" fontId="18" fillId="0" borderId="0" xfId="2" applyFont="1" applyAlignment="1">
      <alignment horizontal="center"/>
    </xf>
    <xf numFmtId="165" fontId="0" fillId="7" borderId="11" xfId="0" applyNumberFormat="1" applyFill="1" applyBorder="1" applyAlignment="1">
      <alignment horizontal="center"/>
    </xf>
    <xf numFmtId="165" fontId="0" fillId="7" borderId="12" xfId="0" applyNumberFormat="1" applyFill="1" applyBorder="1" applyAlignment="1">
      <alignment horizontal="center"/>
    </xf>
    <xf numFmtId="165" fontId="0" fillId="7" borderId="13" xfId="0" applyNumberFormat="1" applyFill="1" applyBorder="1" applyAlignment="1">
      <alignment horizontal="center"/>
    </xf>
    <xf numFmtId="0" fontId="6" fillId="5" borderId="27" xfId="0" applyFont="1" applyFill="1" applyBorder="1" applyAlignment="1">
      <alignment horizontal="center" vertical="center" textRotation="90"/>
    </xf>
    <xf numFmtId="0" fontId="6" fillId="5" borderId="28" xfId="0" applyFont="1" applyFill="1" applyBorder="1" applyAlignment="1">
      <alignment horizontal="center" vertical="center" textRotation="90"/>
    </xf>
    <xf numFmtId="0" fontId="6" fillId="5" borderId="29" xfId="0" applyFont="1" applyFill="1" applyBorder="1" applyAlignment="1">
      <alignment horizontal="center" vertical="center" textRotation="90"/>
    </xf>
    <xf numFmtId="0" fontId="5" fillId="4" borderId="2" xfId="0" applyFont="1" applyFill="1" applyBorder="1" applyAlignment="1">
      <alignment horizont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6" fillId="5" borderId="2"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vertical="center" textRotation="90"/>
    </xf>
    <xf numFmtId="0" fontId="6" fillId="5" borderId="6" xfId="0" applyFont="1" applyFill="1" applyBorder="1" applyAlignment="1">
      <alignment horizontal="center" vertical="center" textRotation="90"/>
    </xf>
    <xf numFmtId="0" fontId="6" fillId="5" borderId="7" xfId="0" applyFont="1" applyFill="1" applyBorder="1" applyAlignment="1">
      <alignment horizontal="center" vertical="center" textRotation="90"/>
    </xf>
    <xf numFmtId="0" fontId="6" fillId="5" borderId="27"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11" xfId="0" applyFont="1" applyFill="1" applyBorder="1" applyAlignment="1">
      <alignment horizontal="center"/>
    </xf>
    <xf numFmtId="0" fontId="6" fillId="5" borderId="12" xfId="0" applyFont="1" applyFill="1" applyBorder="1" applyAlignment="1">
      <alignment horizontal="center"/>
    </xf>
    <xf numFmtId="0" fontId="6" fillId="5" borderId="14" xfId="0" applyFont="1" applyFill="1" applyBorder="1" applyAlignment="1">
      <alignment horizontal="center"/>
    </xf>
    <xf numFmtId="0" fontId="0" fillId="0" borderId="30" xfId="0" applyBorder="1" applyAlignment="1">
      <alignment horizontal="left"/>
    </xf>
    <xf numFmtId="0" fontId="0" fillId="0" borderId="37" xfId="0" applyBorder="1" applyAlignment="1">
      <alignment horizontal="left"/>
    </xf>
    <xf numFmtId="0" fontId="0" fillId="0" borderId="38" xfId="0" applyBorder="1" applyAlignment="1">
      <alignment horizontal="left"/>
    </xf>
    <xf numFmtId="0" fontId="0" fillId="0" borderId="31"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32" xfId="0" applyBorder="1" applyAlignment="1">
      <alignment horizontal="left"/>
    </xf>
    <xf numFmtId="0" fontId="0" fillId="0" borderId="41" xfId="0" applyBorder="1" applyAlignment="1">
      <alignment horizontal="left"/>
    </xf>
    <xf numFmtId="0" fontId="0" fillId="0" borderId="42" xfId="0" applyBorder="1" applyAlignment="1">
      <alignment horizontal="left"/>
    </xf>
    <xf numFmtId="0" fontId="6" fillId="5" borderId="2" xfId="0" applyFont="1" applyFill="1" applyBorder="1" applyAlignment="1">
      <alignment horizontal="left"/>
    </xf>
    <xf numFmtId="0" fontId="6" fillId="5" borderId="4" xfId="0" applyFont="1" applyFill="1" applyBorder="1" applyAlignment="1">
      <alignment horizontal="left"/>
    </xf>
    <xf numFmtId="0" fontId="6" fillId="5" borderId="30" xfId="0" applyFont="1" applyFill="1" applyBorder="1" applyAlignment="1">
      <alignment horizontal="center" vertical="center" textRotation="90"/>
    </xf>
    <xf numFmtId="0" fontId="6" fillId="5" borderId="31" xfId="0" applyFont="1" applyFill="1" applyBorder="1" applyAlignment="1">
      <alignment horizontal="center" vertical="center" textRotation="90"/>
    </xf>
    <xf numFmtId="0" fontId="6" fillId="5" borderId="32" xfId="0" applyFont="1" applyFill="1" applyBorder="1" applyAlignment="1">
      <alignment horizontal="center" vertical="center" textRotation="90"/>
    </xf>
  </cellXfs>
  <cellStyles count="5">
    <cellStyle name="Comma 2" xfId="3" xr:uid="{00000000-0005-0000-0000-000000000000}"/>
    <cellStyle name="Currency" xfId="1" builtinId="4"/>
    <cellStyle name="Hyperlink" xfId="4" builtinId="8"/>
    <cellStyle name="Normal" xfId="0" builtinId="0"/>
    <cellStyle name="Normal 2" xfId="2" xr:uid="{00000000-0005-0000-0000-000004000000}"/>
  </cellStyles>
  <dxfs count="7">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font>
      <fill>
        <patternFill>
          <bgColor theme="0"/>
        </patternFill>
      </fill>
    </dxf>
  </dxfs>
  <tableStyles count="0" defaultTableStyle="TableStyleMedium2" defaultPivotStyle="PivotStyleLight16"/>
  <colors>
    <mruColors>
      <color rgb="FF008000"/>
      <color rgb="FF00CC00"/>
      <color rgb="FF0000FF"/>
      <color rgb="FF9900CC"/>
      <color rgb="FF9900FF"/>
      <color rgb="FF00CC66"/>
      <color rgb="FFFFCC00"/>
      <color rgb="FFFF66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39</xdr:row>
      <xdr:rowOff>19050</xdr:rowOff>
    </xdr:from>
    <xdr:to>
      <xdr:col>7</xdr:col>
      <xdr:colOff>123825</xdr:colOff>
      <xdr:row>52</xdr:row>
      <xdr:rowOff>66675</xdr:rowOff>
    </xdr:to>
    <xdr:pic>
      <xdr:nvPicPr>
        <xdr:cNvPr id="2" name="Imag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3067050"/>
          <a:ext cx="3933825" cy="2524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xdr:colOff>
      <xdr:row>57</xdr:row>
      <xdr:rowOff>47625</xdr:rowOff>
    </xdr:from>
    <xdr:to>
      <xdr:col>15</xdr:col>
      <xdr:colOff>581025</xdr:colOff>
      <xdr:row>70</xdr:row>
      <xdr:rowOff>133350</xdr:rowOff>
    </xdr:to>
    <xdr:pic>
      <xdr:nvPicPr>
        <xdr:cNvPr id="3" name="Imag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4900" y="6524625"/>
          <a:ext cx="10458450" cy="2562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xdr:colOff>
      <xdr:row>88</xdr:row>
      <xdr:rowOff>28575</xdr:rowOff>
    </xdr:from>
    <xdr:to>
      <xdr:col>6</xdr:col>
      <xdr:colOff>323850</xdr:colOff>
      <xdr:row>101</xdr:row>
      <xdr:rowOff>123825</xdr:rowOff>
    </xdr:to>
    <xdr:pic>
      <xdr:nvPicPr>
        <xdr:cNvPr id="4" name="Image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04900" y="12458700"/>
          <a:ext cx="3343275" cy="2571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xdr:colOff>
      <xdr:row>107</xdr:row>
      <xdr:rowOff>47625</xdr:rowOff>
    </xdr:from>
    <xdr:to>
      <xdr:col>8</xdr:col>
      <xdr:colOff>514350</xdr:colOff>
      <xdr:row>118</xdr:row>
      <xdr:rowOff>104775</xdr:rowOff>
    </xdr:to>
    <xdr:pic>
      <xdr:nvPicPr>
        <xdr:cNvPr id="5" name="Imag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04900" y="15906750"/>
          <a:ext cx="5057775" cy="215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47625</xdr:colOff>
      <xdr:row>21</xdr:row>
      <xdr:rowOff>66675</xdr:rowOff>
    </xdr:from>
    <xdr:to>
      <xdr:col>9</xdr:col>
      <xdr:colOff>285015</xdr:colOff>
      <xdr:row>24</xdr:row>
      <xdr:rowOff>133270</xdr:rowOff>
    </xdr:to>
    <xdr:pic>
      <xdr:nvPicPr>
        <xdr:cNvPr id="6" name="Imag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a:stretch>
          <a:fillRect/>
        </a:stretch>
      </xdr:blipFill>
      <xdr:spPr>
        <a:xfrm>
          <a:off x="295275" y="1866900"/>
          <a:ext cx="5885715" cy="638095"/>
        </a:xfrm>
        <a:prstGeom prst="rect">
          <a:avLst/>
        </a:prstGeom>
      </xdr:spPr>
    </xdr:pic>
    <xdr:clientData/>
  </xdr:twoCellAnchor>
  <xdr:twoCellAnchor editAs="oneCell">
    <xdr:from>
      <xdr:col>1</xdr:col>
      <xdr:colOff>28575</xdr:colOff>
      <xdr:row>7</xdr:row>
      <xdr:rowOff>66675</xdr:rowOff>
    </xdr:from>
    <xdr:to>
      <xdr:col>9</xdr:col>
      <xdr:colOff>37393</xdr:colOff>
      <xdr:row>17</xdr:row>
      <xdr:rowOff>133104</xdr:rowOff>
    </xdr:to>
    <xdr:pic>
      <xdr:nvPicPr>
        <xdr:cNvPr id="7" name="Imag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a:stretch>
          <a:fillRect/>
        </a:stretch>
      </xdr:blipFill>
      <xdr:spPr>
        <a:xfrm>
          <a:off x="276225" y="1485900"/>
          <a:ext cx="5657143" cy="1971429"/>
        </a:xfrm>
        <a:prstGeom prst="rect">
          <a:avLst/>
        </a:prstGeom>
      </xdr:spPr>
    </xdr:pic>
    <xdr:clientData/>
  </xdr:twoCellAnchor>
  <xdr:twoCellAnchor editAs="oneCell">
    <xdr:from>
      <xdr:col>2</xdr:col>
      <xdr:colOff>38100</xdr:colOff>
      <xdr:row>133</xdr:row>
      <xdr:rowOff>28575</xdr:rowOff>
    </xdr:from>
    <xdr:to>
      <xdr:col>5</xdr:col>
      <xdr:colOff>714005</xdr:colOff>
      <xdr:row>142</xdr:row>
      <xdr:rowOff>123599</xdr:rowOff>
    </xdr:to>
    <xdr:pic>
      <xdr:nvPicPr>
        <xdr:cNvPr id="8" name="Image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a:stretch>
          <a:fillRect/>
        </a:stretch>
      </xdr:blipFill>
      <xdr:spPr>
        <a:xfrm>
          <a:off x="600075" y="25488900"/>
          <a:ext cx="2961905" cy="1809524"/>
        </a:xfrm>
        <a:prstGeom prst="rect">
          <a:avLst/>
        </a:prstGeom>
      </xdr:spPr>
    </xdr:pic>
    <xdr:clientData/>
  </xdr:twoCellAnchor>
  <xdr:twoCellAnchor editAs="oneCell">
    <xdr:from>
      <xdr:col>1</xdr:col>
      <xdr:colOff>304800</xdr:colOff>
      <xdr:row>144</xdr:row>
      <xdr:rowOff>38100</xdr:rowOff>
    </xdr:from>
    <xdr:to>
      <xdr:col>5</xdr:col>
      <xdr:colOff>294951</xdr:colOff>
      <xdr:row>152</xdr:row>
      <xdr:rowOff>9338</xdr:rowOff>
    </xdr:to>
    <xdr:pic>
      <xdr:nvPicPr>
        <xdr:cNvPr id="9" name="Imag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8"/>
        <a:stretch>
          <a:fillRect/>
        </a:stretch>
      </xdr:blipFill>
      <xdr:spPr>
        <a:xfrm>
          <a:off x="552450" y="27593925"/>
          <a:ext cx="2590476" cy="14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oit.com\FS\MTL\Clients\m_r\Rhode%20Island%20(ERSRI)\Impartition_5900\Impartition\Employee%20Portal\Tax%20Calculator\Tax_Calculator_YYY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_Calculator"/>
      <sheetName val="Data"/>
      <sheetName val="TaxCalculation"/>
      <sheetName val="Update"/>
    </sheetNames>
    <sheetDataSet>
      <sheetData sheetId="0"/>
      <sheetData sheetId="1">
        <row r="3">
          <cell r="C3">
            <v>2021</v>
          </cell>
          <cell r="F3">
            <v>2020</v>
          </cell>
          <cell r="I3">
            <v>2019</v>
          </cell>
          <cell r="L3">
            <v>2018</v>
          </cell>
          <cell r="O3">
            <v>2017</v>
          </cell>
          <cell r="R3">
            <v>2016</v>
          </cell>
          <cell r="U3">
            <v>2015</v>
          </cell>
        </row>
        <row r="4">
          <cell r="C4">
            <v>4300</v>
          </cell>
          <cell r="F4">
            <v>4300</v>
          </cell>
          <cell r="I4">
            <v>4200</v>
          </cell>
          <cell r="L4">
            <v>4150</v>
          </cell>
          <cell r="O4">
            <v>4050</v>
          </cell>
          <cell r="R4">
            <v>4050</v>
          </cell>
          <cell r="U4">
            <v>4000</v>
          </cell>
        </row>
        <row r="5">
          <cell r="C5" t="str">
            <v>Over</v>
          </cell>
          <cell r="D5" t="str">
            <v>Plus %</v>
          </cell>
          <cell r="E5" t="str">
            <v>To Withhold</v>
          </cell>
          <cell r="F5" t="str">
            <v>Over</v>
          </cell>
          <cell r="G5" t="str">
            <v>Plus %</v>
          </cell>
          <cell r="H5" t="str">
            <v>To Withhold</v>
          </cell>
          <cell r="I5" t="str">
            <v>Over</v>
          </cell>
          <cell r="J5" t="str">
            <v>Plus %</v>
          </cell>
          <cell r="K5" t="str">
            <v>To Withhold</v>
          </cell>
          <cell r="L5" t="str">
            <v>Over</v>
          </cell>
          <cell r="M5" t="str">
            <v>Plus %</v>
          </cell>
          <cell r="N5" t="str">
            <v>To Withhold</v>
          </cell>
          <cell r="O5" t="str">
            <v>Over</v>
          </cell>
          <cell r="P5" t="str">
            <v>Plus %</v>
          </cell>
          <cell r="Q5" t="str">
            <v>To Withhold</v>
          </cell>
          <cell r="R5" t="str">
            <v>Over</v>
          </cell>
          <cell r="S5" t="str">
            <v>Plus %</v>
          </cell>
          <cell r="T5" t="str">
            <v>To Withhold</v>
          </cell>
          <cell r="U5" t="str">
            <v>Over</v>
          </cell>
          <cell r="V5" t="str">
            <v>Plus %</v>
          </cell>
          <cell r="W5" t="str">
            <v>To Withhold</v>
          </cell>
        </row>
        <row r="6">
          <cell r="C6">
            <v>3950</v>
          </cell>
          <cell r="D6">
            <v>0.1</v>
          </cell>
          <cell r="E6">
            <v>0</v>
          </cell>
          <cell r="F6">
            <v>3800</v>
          </cell>
          <cell r="G6">
            <v>0.1</v>
          </cell>
          <cell r="H6">
            <v>0</v>
          </cell>
          <cell r="I6">
            <v>3800</v>
          </cell>
          <cell r="J6">
            <v>0.1</v>
          </cell>
          <cell r="K6">
            <v>0</v>
          </cell>
          <cell r="L6">
            <v>3700</v>
          </cell>
          <cell r="M6">
            <v>0.1</v>
          </cell>
          <cell r="N6">
            <v>0</v>
          </cell>
          <cell r="O6">
            <v>2300</v>
          </cell>
          <cell r="P6">
            <v>0.1</v>
          </cell>
          <cell r="Q6">
            <v>0</v>
          </cell>
          <cell r="R6">
            <v>2250</v>
          </cell>
          <cell r="S6">
            <v>0.1</v>
          </cell>
          <cell r="T6">
            <v>0</v>
          </cell>
          <cell r="U6">
            <v>2300</v>
          </cell>
          <cell r="V6">
            <v>0.1</v>
          </cell>
          <cell r="W6">
            <v>0</v>
          </cell>
        </row>
        <row r="7">
          <cell r="C7">
            <v>13900</v>
          </cell>
          <cell r="D7">
            <v>0.12</v>
          </cell>
          <cell r="E7">
            <v>995</v>
          </cell>
          <cell r="F7">
            <v>13675</v>
          </cell>
          <cell r="G7">
            <v>0.12</v>
          </cell>
          <cell r="H7">
            <v>987.5</v>
          </cell>
          <cell r="I7">
            <v>13500</v>
          </cell>
          <cell r="J7">
            <v>0.12</v>
          </cell>
          <cell r="K7">
            <v>970</v>
          </cell>
          <cell r="L7">
            <v>13225</v>
          </cell>
          <cell r="M7">
            <v>0.12</v>
          </cell>
          <cell r="N7">
            <v>952.5</v>
          </cell>
          <cell r="O7">
            <v>11625</v>
          </cell>
          <cell r="P7">
            <v>0.15</v>
          </cell>
          <cell r="Q7">
            <v>932.5</v>
          </cell>
          <cell r="R7">
            <v>11525</v>
          </cell>
          <cell r="S7">
            <v>0.15</v>
          </cell>
          <cell r="T7">
            <v>927.5</v>
          </cell>
          <cell r="U7">
            <v>11525</v>
          </cell>
          <cell r="V7">
            <v>0.15</v>
          </cell>
          <cell r="W7">
            <v>922.5</v>
          </cell>
        </row>
        <row r="8">
          <cell r="C8">
            <v>44475</v>
          </cell>
          <cell r="D8">
            <v>0.22</v>
          </cell>
          <cell r="E8">
            <v>4664</v>
          </cell>
          <cell r="F8">
            <v>43925</v>
          </cell>
          <cell r="G8">
            <v>0.22</v>
          </cell>
          <cell r="H8">
            <v>4617.5</v>
          </cell>
          <cell r="I8">
            <v>43275</v>
          </cell>
          <cell r="J8">
            <v>0.22</v>
          </cell>
          <cell r="K8">
            <v>4543</v>
          </cell>
          <cell r="L8">
            <v>42400</v>
          </cell>
          <cell r="M8">
            <v>0.22</v>
          </cell>
          <cell r="N8">
            <v>4453.5</v>
          </cell>
          <cell r="O8">
            <v>40250</v>
          </cell>
          <cell r="P8">
            <v>0.25</v>
          </cell>
          <cell r="Q8">
            <v>5226.25</v>
          </cell>
          <cell r="R8">
            <v>39900</v>
          </cell>
          <cell r="S8">
            <v>0.25</v>
          </cell>
          <cell r="T8">
            <v>5183.75</v>
          </cell>
          <cell r="U8">
            <v>39750</v>
          </cell>
          <cell r="V8">
            <v>0.25</v>
          </cell>
          <cell r="W8">
            <v>5156.25</v>
          </cell>
        </row>
        <row r="9">
          <cell r="C9">
            <v>90325</v>
          </cell>
          <cell r="D9">
            <v>0.24</v>
          </cell>
          <cell r="E9">
            <v>14751</v>
          </cell>
          <cell r="F9">
            <v>89325</v>
          </cell>
          <cell r="G9">
            <v>0.24</v>
          </cell>
          <cell r="H9">
            <v>14605.5</v>
          </cell>
          <cell r="I9">
            <v>88000</v>
          </cell>
          <cell r="J9">
            <v>0.24</v>
          </cell>
          <cell r="K9">
            <v>14382.5</v>
          </cell>
          <cell r="L9">
            <v>86200</v>
          </cell>
          <cell r="M9">
            <v>0.24</v>
          </cell>
          <cell r="N9">
            <v>14089.5</v>
          </cell>
          <cell r="O9">
            <v>94200</v>
          </cell>
          <cell r="P9">
            <v>0.28000000000000003</v>
          </cell>
          <cell r="Q9">
            <v>18713.75</v>
          </cell>
          <cell r="R9">
            <v>93400</v>
          </cell>
          <cell r="S9">
            <v>0.28000000000000003</v>
          </cell>
          <cell r="T9">
            <v>18558.75</v>
          </cell>
          <cell r="U9">
            <v>93050</v>
          </cell>
          <cell r="V9">
            <v>0.28000000000000003</v>
          </cell>
          <cell r="W9">
            <v>18481.25</v>
          </cell>
        </row>
        <row r="10">
          <cell r="C10">
            <v>168875</v>
          </cell>
          <cell r="D10">
            <v>0.32</v>
          </cell>
          <cell r="E10">
            <v>33603</v>
          </cell>
          <cell r="F10">
            <v>167100</v>
          </cell>
          <cell r="G10">
            <v>0.32</v>
          </cell>
          <cell r="H10">
            <v>33271.5</v>
          </cell>
          <cell r="I10">
            <v>164525</v>
          </cell>
          <cell r="J10">
            <v>0.32</v>
          </cell>
          <cell r="K10">
            <v>32748.5</v>
          </cell>
          <cell r="L10">
            <v>161200</v>
          </cell>
          <cell r="M10">
            <v>0.32</v>
          </cell>
          <cell r="N10">
            <v>32089.5</v>
          </cell>
          <cell r="O10">
            <v>193950</v>
          </cell>
          <cell r="P10">
            <v>0.33</v>
          </cell>
          <cell r="Q10">
            <v>46643.75</v>
          </cell>
          <cell r="R10">
            <v>192400</v>
          </cell>
          <cell r="S10">
            <v>0.33</v>
          </cell>
          <cell r="T10">
            <v>46278.75</v>
          </cell>
          <cell r="U10">
            <v>191600</v>
          </cell>
          <cell r="V10">
            <v>0.33</v>
          </cell>
          <cell r="W10">
            <v>46075.25</v>
          </cell>
        </row>
        <row r="11">
          <cell r="C11">
            <v>213375</v>
          </cell>
          <cell r="D11">
            <v>0.35</v>
          </cell>
          <cell r="E11">
            <v>47843</v>
          </cell>
          <cell r="F11">
            <v>211150</v>
          </cell>
          <cell r="G11">
            <v>0.35</v>
          </cell>
          <cell r="H11">
            <v>47367.5</v>
          </cell>
          <cell r="I11">
            <v>207900</v>
          </cell>
          <cell r="J11">
            <v>0.35</v>
          </cell>
          <cell r="K11">
            <v>46628.5</v>
          </cell>
          <cell r="L11">
            <v>203700</v>
          </cell>
          <cell r="M11">
            <v>0.35</v>
          </cell>
          <cell r="N11">
            <v>45689.5</v>
          </cell>
          <cell r="O11">
            <v>419000</v>
          </cell>
          <cell r="P11">
            <v>0.35</v>
          </cell>
          <cell r="Q11">
            <v>120910.25</v>
          </cell>
          <cell r="R11">
            <v>415600</v>
          </cell>
          <cell r="S11">
            <v>0.35</v>
          </cell>
          <cell r="T11">
            <v>119934.75</v>
          </cell>
          <cell r="U11">
            <v>413800</v>
          </cell>
          <cell r="V11">
            <v>0.35</v>
          </cell>
          <cell r="W11">
            <v>119401.25</v>
          </cell>
        </row>
        <row r="12">
          <cell r="C12">
            <v>527550</v>
          </cell>
          <cell r="D12">
            <v>0.37</v>
          </cell>
          <cell r="E12">
            <v>157804.25</v>
          </cell>
          <cell r="F12">
            <v>522200</v>
          </cell>
          <cell r="G12">
            <v>0.37</v>
          </cell>
          <cell r="H12">
            <v>156235</v>
          </cell>
          <cell r="I12">
            <v>514100</v>
          </cell>
          <cell r="J12">
            <v>0.37</v>
          </cell>
          <cell r="K12">
            <v>153798.5</v>
          </cell>
          <cell r="L12">
            <v>503700</v>
          </cell>
          <cell r="M12">
            <v>0.37</v>
          </cell>
          <cell r="N12">
            <v>150689.5</v>
          </cell>
          <cell r="O12">
            <v>420700</v>
          </cell>
          <cell r="P12">
            <v>0.39600000000000002</v>
          </cell>
          <cell r="Q12">
            <v>121505.25</v>
          </cell>
          <cell r="R12">
            <v>417300</v>
          </cell>
          <cell r="S12">
            <v>0.39600000000000002</v>
          </cell>
          <cell r="T12">
            <v>120529.75</v>
          </cell>
          <cell r="U12">
            <v>415500</v>
          </cell>
          <cell r="V12">
            <v>0.39600000000000002</v>
          </cell>
          <cell r="W12">
            <v>119996.25</v>
          </cell>
        </row>
        <row r="13">
          <cell r="C13" t="str">
            <v>Over</v>
          </cell>
          <cell r="D13" t="str">
            <v>Plus %</v>
          </cell>
          <cell r="E13" t="str">
            <v>To Withhold</v>
          </cell>
          <cell r="F13" t="str">
            <v>Over</v>
          </cell>
          <cell r="G13" t="str">
            <v>Plus %</v>
          </cell>
          <cell r="H13" t="str">
            <v>To Withhold</v>
          </cell>
          <cell r="I13" t="str">
            <v>Over</v>
          </cell>
          <cell r="J13" t="str">
            <v>Plus %</v>
          </cell>
          <cell r="K13" t="str">
            <v>To Withhold</v>
          </cell>
          <cell r="L13" t="str">
            <v>Over</v>
          </cell>
          <cell r="M13" t="str">
            <v>Plus %</v>
          </cell>
          <cell r="N13" t="str">
            <v>To Withhold</v>
          </cell>
          <cell r="O13" t="str">
            <v>Over</v>
          </cell>
          <cell r="P13" t="str">
            <v>Plus %</v>
          </cell>
          <cell r="Q13" t="str">
            <v>To Withhold</v>
          </cell>
          <cell r="R13" t="str">
            <v>Over</v>
          </cell>
          <cell r="S13" t="str">
            <v>Plus %</v>
          </cell>
          <cell r="T13" t="str">
            <v>To Withhold</v>
          </cell>
          <cell r="U13" t="str">
            <v>Over</v>
          </cell>
          <cell r="V13" t="str">
            <v>Plus %</v>
          </cell>
          <cell r="W13" t="str">
            <v>To Withhold</v>
          </cell>
        </row>
        <row r="14">
          <cell r="C14">
            <v>12200</v>
          </cell>
          <cell r="D14">
            <v>0.1</v>
          </cell>
          <cell r="E14">
            <v>0</v>
          </cell>
          <cell r="F14">
            <v>11900</v>
          </cell>
          <cell r="G14">
            <v>0.1</v>
          </cell>
          <cell r="H14">
            <v>0</v>
          </cell>
          <cell r="I14">
            <v>11800</v>
          </cell>
          <cell r="J14">
            <v>0.1</v>
          </cell>
          <cell r="K14">
            <v>0</v>
          </cell>
          <cell r="L14">
            <v>11550</v>
          </cell>
          <cell r="M14">
            <v>0.1</v>
          </cell>
          <cell r="N14">
            <v>0</v>
          </cell>
          <cell r="O14">
            <v>8650</v>
          </cell>
          <cell r="P14">
            <v>0.1</v>
          </cell>
          <cell r="Q14">
            <v>0</v>
          </cell>
          <cell r="R14">
            <v>8550</v>
          </cell>
          <cell r="S14">
            <v>0.1</v>
          </cell>
          <cell r="T14">
            <v>0</v>
          </cell>
          <cell r="U14">
            <v>8600</v>
          </cell>
          <cell r="V14">
            <v>0.1</v>
          </cell>
          <cell r="W14">
            <v>0</v>
          </cell>
        </row>
        <row r="15">
          <cell r="C15">
            <v>32100</v>
          </cell>
          <cell r="D15">
            <v>0.12</v>
          </cell>
          <cell r="E15">
            <v>1990</v>
          </cell>
          <cell r="F15">
            <v>31650</v>
          </cell>
          <cell r="G15">
            <v>0.12</v>
          </cell>
          <cell r="H15">
            <v>1975</v>
          </cell>
          <cell r="I15">
            <v>31200</v>
          </cell>
          <cell r="J15">
            <v>0.12</v>
          </cell>
          <cell r="K15">
            <v>1940</v>
          </cell>
          <cell r="L15">
            <v>30600</v>
          </cell>
          <cell r="M15">
            <v>0.12</v>
          </cell>
          <cell r="N15">
            <v>1905</v>
          </cell>
          <cell r="O15">
            <v>27300</v>
          </cell>
          <cell r="P15">
            <v>0.15</v>
          </cell>
          <cell r="Q15">
            <v>1865</v>
          </cell>
          <cell r="R15">
            <v>27100</v>
          </cell>
          <cell r="S15">
            <v>0.15</v>
          </cell>
          <cell r="T15">
            <v>1855</v>
          </cell>
          <cell r="U15">
            <v>27050</v>
          </cell>
          <cell r="V15">
            <v>0.15</v>
          </cell>
          <cell r="W15">
            <v>1845</v>
          </cell>
        </row>
        <row r="16">
          <cell r="C16">
            <v>93250</v>
          </cell>
          <cell r="D16">
            <v>0.22</v>
          </cell>
          <cell r="E16">
            <v>9328</v>
          </cell>
          <cell r="F16">
            <v>92150</v>
          </cell>
          <cell r="G16">
            <v>0.22</v>
          </cell>
          <cell r="H16">
            <v>9235</v>
          </cell>
          <cell r="I16">
            <v>90750</v>
          </cell>
          <cell r="J16">
            <v>0.22</v>
          </cell>
          <cell r="K16">
            <v>9086</v>
          </cell>
          <cell r="L16">
            <v>88950</v>
          </cell>
          <cell r="M16">
            <v>0.22</v>
          </cell>
          <cell r="N16">
            <v>8907</v>
          </cell>
          <cell r="O16">
            <v>84550</v>
          </cell>
          <cell r="P16">
            <v>0.25</v>
          </cell>
          <cell r="Q16">
            <v>10452.5</v>
          </cell>
          <cell r="R16">
            <v>83850</v>
          </cell>
          <cell r="S16">
            <v>0.25</v>
          </cell>
          <cell r="T16">
            <v>10367.5</v>
          </cell>
          <cell r="U16">
            <v>83500</v>
          </cell>
          <cell r="V16">
            <v>0.25</v>
          </cell>
          <cell r="W16">
            <v>10312.5</v>
          </cell>
        </row>
        <row r="17">
          <cell r="C17">
            <v>184950</v>
          </cell>
          <cell r="D17">
            <v>0.24</v>
          </cell>
          <cell r="E17">
            <v>29502</v>
          </cell>
          <cell r="F17">
            <v>182950</v>
          </cell>
          <cell r="G17">
            <v>0.24</v>
          </cell>
          <cell r="H17">
            <v>29211</v>
          </cell>
          <cell r="I17">
            <v>180200</v>
          </cell>
          <cell r="J17">
            <v>0.24</v>
          </cell>
          <cell r="K17">
            <v>28765</v>
          </cell>
          <cell r="L17">
            <v>176550</v>
          </cell>
          <cell r="M17">
            <v>0.24</v>
          </cell>
          <cell r="N17">
            <v>28179</v>
          </cell>
          <cell r="O17">
            <v>161750</v>
          </cell>
          <cell r="P17">
            <v>0.28000000000000003</v>
          </cell>
          <cell r="Q17">
            <v>29752.5</v>
          </cell>
          <cell r="R17">
            <v>160450</v>
          </cell>
          <cell r="S17">
            <v>0.28000000000000003</v>
          </cell>
          <cell r="T17">
            <v>29517.5</v>
          </cell>
          <cell r="U17">
            <v>159800</v>
          </cell>
          <cell r="V17">
            <v>0.28000000000000003</v>
          </cell>
          <cell r="W17">
            <v>29387.5</v>
          </cell>
        </row>
        <row r="18">
          <cell r="C18">
            <v>342050</v>
          </cell>
          <cell r="D18">
            <v>0.32</v>
          </cell>
          <cell r="E18">
            <v>67206</v>
          </cell>
          <cell r="F18">
            <v>338500</v>
          </cell>
          <cell r="G18">
            <v>0.32</v>
          </cell>
          <cell r="H18">
            <v>66543</v>
          </cell>
          <cell r="I18">
            <v>333250</v>
          </cell>
          <cell r="J18">
            <v>0.32</v>
          </cell>
          <cell r="K18">
            <v>65497</v>
          </cell>
          <cell r="L18">
            <v>326550</v>
          </cell>
          <cell r="M18">
            <v>0.32</v>
          </cell>
          <cell r="N18">
            <v>64179</v>
          </cell>
          <cell r="O18">
            <v>242000</v>
          </cell>
          <cell r="P18">
            <v>0.33</v>
          </cell>
          <cell r="Q18">
            <v>52222.5</v>
          </cell>
          <cell r="R18">
            <v>240000</v>
          </cell>
          <cell r="S18">
            <v>0.33</v>
          </cell>
          <cell r="T18">
            <v>51791.5</v>
          </cell>
          <cell r="U18">
            <v>239050</v>
          </cell>
          <cell r="V18">
            <v>0.33</v>
          </cell>
          <cell r="W18">
            <v>51577.5</v>
          </cell>
        </row>
        <row r="19">
          <cell r="C19">
            <v>431050</v>
          </cell>
          <cell r="D19">
            <v>0.35</v>
          </cell>
          <cell r="E19">
            <v>95686</v>
          </cell>
          <cell r="F19">
            <v>426600</v>
          </cell>
          <cell r="G19">
            <v>0.35</v>
          </cell>
          <cell r="H19">
            <v>94735</v>
          </cell>
          <cell r="I19">
            <v>420000</v>
          </cell>
          <cell r="J19">
            <v>0.35</v>
          </cell>
          <cell r="K19">
            <v>93257</v>
          </cell>
          <cell r="L19">
            <v>411550</v>
          </cell>
          <cell r="M19">
            <v>0.35</v>
          </cell>
          <cell r="N19">
            <v>91379</v>
          </cell>
          <cell r="O19">
            <v>425350</v>
          </cell>
          <cell r="P19">
            <v>0.35</v>
          </cell>
          <cell r="Q19">
            <v>112728</v>
          </cell>
          <cell r="R19">
            <v>421900</v>
          </cell>
          <cell r="S19">
            <v>0.35</v>
          </cell>
          <cell r="T19">
            <v>111818.5</v>
          </cell>
          <cell r="U19">
            <v>420100</v>
          </cell>
          <cell r="V19">
            <v>0.35</v>
          </cell>
          <cell r="W19">
            <v>111324</v>
          </cell>
        </row>
        <row r="20">
          <cell r="C20">
            <v>640500</v>
          </cell>
          <cell r="D20">
            <v>0.37</v>
          </cell>
          <cell r="E20">
            <v>168993.5</v>
          </cell>
          <cell r="F20">
            <v>633950</v>
          </cell>
          <cell r="G20">
            <v>0.37</v>
          </cell>
          <cell r="H20">
            <v>167307.5</v>
          </cell>
          <cell r="I20">
            <v>624150</v>
          </cell>
          <cell r="J20">
            <v>0.37</v>
          </cell>
          <cell r="K20">
            <v>164709.5</v>
          </cell>
          <cell r="L20">
            <v>611550</v>
          </cell>
          <cell r="M20">
            <v>0.37</v>
          </cell>
          <cell r="N20">
            <v>161379</v>
          </cell>
          <cell r="O20">
            <v>479350</v>
          </cell>
          <cell r="P20">
            <v>0.39600000000000002</v>
          </cell>
          <cell r="Q20">
            <v>131628</v>
          </cell>
          <cell r="R20">
            <v>475500</v>
          </cell>
          <cell r="S20">
            <v>0.39600000000000002</v>
          </cell>
          <cell r="T20">
            <v>130578.5</v>
          </cell>
          <cell r="U20">
            <v>473450</v>
          </cell>
          <cell r="V20">
            <v>0.39600000000000002</v>
          </cell>
          <cell r="W20">
            <v>129996.5</v>
          </cell>
        </row>
        <row r="24">
          <cell r="C24">
            <v>1000</v>
          </cell>
          <cell r="F24">
            <v>1000</v>
          </cell>
          <cell r="I24">
            <v>1000</v>
          </cell>
          <cell r="L24">
            <v>1000</v>
          </cell>
          <cell r="O24">
            <v>1000</v>
          </cell>
          <cell r="R24">
            <v>1000</v>
          </cell>
          <cell r="U24">
            <v>1000</v>
          </cell>
        </row>
        <row r="25">
          <cell r="C25" t="str">
            <v>Over</v>
          </cell>
          <cell r="D25" t="str">
            <v>Plus %</v>
          </cell>
          <cell r="E25" t="str">
            <v>To Withhold</v>
          </cell>
          <cell r="F25" t="str">
            <v>Over</v>
          </cell>
          <cell r="G25" t="str">
            <v>Plus %</v>
          </cell>
          <cell r="H25" t="str">
            <v>To Withhold</v>
          </cell>
          <cell r="I25" t="str">
            <v>Over</v>
          </cell>
          <cell r="J25" t="str">
            <v>Plus %</v>
          </cell>
          <cell r="K25" t="str">
            <v>To Withhold</v>
          </cell>
          <cell r="L25" t="str">
            <v>Over</v>
          </cell>
          <cell r="M25" t="str">
            <v>Plus %</v>
          </cell>
          <cell r="N25" t="str">
            <v>To Withhold</v>
          </cell>
          <cell r="O25" t="str">
            <v>Over</v>
          </cell>
          <cell r="P25" t="str">
            <v>Plus %</v>
          </cell>
          <cell r="Q25" t="str">
            <v>To Withhold</v>
          </cell>
          <cell r="R25" t="str">
            <v>Over</v>
          </cell>
          <cell r="S25" t="str">
            <v>Plus %</v>
          </cell>
          <cell r="T25" t="str">
            <v>To Withhold</v>
          </cell>
          <cell r="U25" t="str">
            <v>Over</v>
          </cell>
          <cell r="V25" t="str">
            <v>Plus %</v>
          </cell>
          <cell r="W25" t="str">
            <v>To Withhold</v>
          </cell>
        </row>
        <row r="26">
          <cell r="C26">
            <v>0</v>
          </cell>
          <cell r="D26">
            <v>3.7499999999999999E-2</v>
          </cell>
          <cell r="E26">
            <v>0</v>
          </cell>
          <cell r="F26">
            <v>0</v>
          </cell>
          <cell r="G26">
            <v>3.7499999999999999E-2</v>
          </cell>
          <cell r="H26">
            <v>0</v>
          </cell>
          <cell r="I26">
            <v>0</v>
          </cell>
          <cell r="J26">
            <v>3.7499999999999999E-2</v>
          </cell>
          <cell r="K26">
            <v>0</v>
          </cell>
          <cell r="L26">
            <v>0</v>
          </cell>
          <cell r="M26">
            <v>3.7499999999999999E-2</v>
          </cell>
          <cell r="N26">
            <v>0</v>
          </cell>
          <cell r="O26">
            <v>0</v>
          </cell>
          <cell r="P26">
            <v>3.7499999999999999E-2</v>
          </cell>
          <cell r="Q26">
            <v>0</v>
          </cell>
          <cell r="R26">
            <v>0</v>
          </cell>
          <cell r="S26">
            <v>3.7499999999999999E-2</v>
          </cell>
          <cell r="T26">
            <v>0</v>
          </cell>
          <cell r="U26">
            <v>0</v>
          </cell>
          <cell r="V26">
            <v>3.7499999999999999E-2</v>
          </cell>
          <cell r="W26">
            <v>0</v>
          </cell>
        </row>
        <row r="27">
          <cell r="C27">
            <v>66200</v>
          </cell>
          <cell r="D27">
            <v>4.7500000000000001E-2</v>
          </cell>
          <cell r="E27">
            <v>2482.5</v>
          </cell>
          <cell r="F27">
            <v>65250</v>
          </cell>
          <cell r="G27">
            <v>4.7500000000000001E-2</v>
          </cell>
          <cell r="H27">
            <v>2446.875</v>
          </cell>
          <cell r="I27">
            <v>64050</v>
          </cell>
          <cell r="J27">
            <v>4.7500000000000001E-2</v>
          </cell>
          <cell r="K27">
            <v>2401.875</v>
          </cell>
          <cell r="L27">
            <v>62550</v>
          </cell>
          <cell r="M27">
            <v>4.7500000000000001E-2</v>
          </cell>
          <cell r="N27">
            <v>2345.625</v>
          </cell>
          <cell r="O27">
            <v>61300</v>
          </cell>
          <cell r="P27">
            <v>4.7500000000000001E-2</v>
          </cell>
          <cell r="Q27">
            <v>2298.75</v>
          </cell>
          <cell r="R27">
            <v>60850</v>
          </cell>
          <cell r="S27">
            <v>4.7500000000000001E-2</v>
          </cell>
          <cell r="T27">
            <v>2281.875</v>
          </cell>
          <cell r="U27">
            <v>60550</v>
          </cell>
          <cell r="V27">
            <v>4.7500000000000001E-2</v>
          </cell>
          <cell r="W27">
            <v>2270.625</v>
          </cell>
        </row>
        <row r="28">
          <cell r="C28">
            <v>150550</v>
          </cell>
          <cell r="D28">
            <v>5.9900000000000002E-2</v>
          </cell>
          <cell r="E28">
            <v>6489.125</v>
          </cell>
          <cell r="F28">
            <v>148350</v>
          </cell>
          <cell r="G28">
            <v>5.9900000000000002E-2</v>
          </cell>
          <cell r="H28">
            <v>6394.125</v>
          </cell>
          <cell r="I28">
            <v>145600</v>
          </cell>
          <cell r="J28">
            <v>5.9900000000000002E-2</v>
          </cell>
          <cell r="K28">
            <v>6275.5</v>
          </cell>
          <cell r="L28">
            <v>142150</v>
          </cell>
          <cell r="M28">
            <v>5.9900000000000002E-2</v>
          </cell>
          <cell r="N28">
            <v>6126.625</v>
          </cell>
          <cell r="O28">
            <v>139400</v>
          </cell>
          <cell r="P28">
            <v>5.9900000000000002E-2</v>
          </cell>
          <cell r="Q28">
            <v>6008.5</v>
          </cell>
          <cell r="R28">
            <v>138300</v>
          </cell>
          <cell r="S28">
            <v>5.9900000000000002E-2</v>
          </cell>
          <cell r="T28">
            <v>5960.75</v>
          </cell>
          <cell r="U28">
            <v>137650</v>
          </cell>
          <cell r="V28">
            <v>5.9900000000000002E-2</v>
          </cell>
          <cell r="W28">
            <v>5932.875</v>
          </cell>
        </row>
      </sheetData>
      <sheetData sheetId="2">
        <row r="10">
          <cell r="K10">
            <v>0</v>
          </cell>
        </row>
        <row r="11">
          <cell r="K11">
            <v>0</v>
          </cell>
        </row>
        <row r="34">
          <cell r="K34">
            <v>0</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tax.ri.gov/" TargetMode="External"/><Relationship Id="rId1" Type="http://schemas.openxmlformats.org/officeDocument/2006/relationships/hyperlink" Target="https://www.irs.gov/pub/irs-pdf" TargetMode="External"/><Relationship Id="rId5" Type="http://schemas.openxmlformats.org/officeDocument/2006/relationships/drawing" Target="../drawings/drawing1.xml"/><Relationship Id="rId4"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B1:M40"/>
  <sheetViews>
    <sheetView showGridLines="0" tabSelected="1" zoomScaleNormal="100" workbookViewId="0">
      <selection activeCell="E9" sqref="E9"/>
    </sheetView>
  </sheetViews>
  <sheetFormatPr defaultColWidth="9.140625" defaultRowHeight="15" x14ac:dyDescent="0.25"/>
  <cols>
    <col min="1" max="1" width="5" customWidth="1"/>
    <col min="2" max="2" width="45" customWidth="1"/>
    <col min="3" max="3" width="12.140625" customWidth="1"/>
    <col min="4" max="4" width="5.7109375" hidden="1" customWidth="1"/>
    <col min="5" max="5" width="36.7109375" customWidth="1"/>
    <col min="6" max="6" width="8.42578125" customWidth="1"/>
    <col min="7" max="7" width="12.140625" customWidth="1"/>
    <col min="8" max="8" width="13.42578125" customWidth="1"/>
    <col min="9" max="9" width="7.5703125" customWidth="1"/>
    <col min="10" max="10" width="11.140625" customWidth="1"/>
    <col min="11" max="11" width="2.140625" customWidth="1"/>
    <col min="12" max="12" width="36" bestFit="1" customWidth="1"/>
    <col min="13" max="13" width="31.7109375" bestFit="1" customWidth="1"/>
  </cols>
  <sheetData>
    <row r="1" spans="2:13" ht="10.5" customHeight="1" x14ac:dyDescent="0.25"/>
    <row r="2" spans="2:13" s="102" customFormat="1" ht="41.25" customHeight="1" x14ac:dyDescent="0.25">
      <c r="B2" s="142" t="str">
        <f>"This workbook allows you to predict your Federal and Rhode Island withholding for "&amp;TaxCalculation!D4</f>
        <v>This workbook allows you to predict your Federal and Rhode Island withholding for 2023</v>
      </c>
      <c r="C2" s="142"/>
      <c r="D2" s="142"/>
      <c r="E2" s="142"/>
      <c r="F2" s="142"/>
      <c r="G2" s="142"/>
      <c r="H2" s="142"/>
      <c r="I2" s="142"/>
      <c r="J2" s="142"/>
    </row>
    <row r="3" spans="2:13" s="102" customFormat="1" ht="24.95" customHeight="1" x14ac:dyDescent="0.25">
      <c r="B3" s="143" t="s">
        <v>113</v>
      </c>
      <c r="C3" s="143"/>
      <c r="D3" s="143"/>
      <c r="E3" s="143"/>
      <c r="F3" s="143"/>
      <c r="G3" s="143"/>
      <c r="H3" s="143"/>
      <c r="I3" s="143"/>
      <c r="J3" s="143"/>
    </row>
    <row r="4" spans="2:13" s="102" customFormat="1" ht="24.95" customHeight="1" x14ac:dyDescent="0.25">
      <c r="B4" s="146" t="s">
        <v>121</v>
      </c>
      <c r="C4" s="146"/>
      <c r="D4" s="146"/>
      <c r="E4" s="146"/>
      <c r="F4" s="146"/>
      <c r="G4" s="146"/>
      <c r="H4" s="146"/>
      <c r="I4" s="146"/>
      <c r="J4" s="146"/>
    </row>
    <row r="5" spans="2:13" s="102" customFormat="1" ht="24.95" customHeight="1" x14ac:dyDescent="0.25">
      <c r="B5" s="146"/>
      <c r="C5" s="146"/>
      <c r="D5" s="146"/>
      <c r="E5" s="146"/>
      <c r="F5" s="146"/>
      <c r="G5" s="146"/>
      <c r="H5" s="146"/>
      <c r="I5" s="146"/>
      <c r="J5" s="146"/>
    </row>
    <row r="6" spans="2:13" s="102" customFormat="1" ht="24.95" customHeight="1" x14ac:dyDescent="0.25">
      <c r="B6" s="144" t="s">
        <v>111</v>
      </c>
      <c r="C6" s="144"/>
      <c r="D6" s="144"/>
      <c r="E6" s="144"/>
      <c r="F6" s="144"/>
      <c r="G6" s="144"/>
      <c r="H6" s="144"/>
      <c r="I6" s="144"/>
      <c r="J6" s="144"/>
    </row>
    <row r="7" spans="2:13" ht="27" customHeight="1" x14ac:dyDescent="0.25">
      <c r="C7" s="98"/>
      <c r="D7" s="98"/>
      <c r="E7" s="110" t="s">
        <v>115</v>
      </c>
      <c r="F7" s="98"/>
      <c r="G7" s="145" t="s">
        <v>114</v>
      </c>
      <c r="H7" s="145"/>
      <c r="I7" s="145"/>
      <c r="J7" s="145"/>
    </row>
    <row r="8" spans="2:13" ht="4.5" customHeight="1" x14ac:dyDescent="0.25">
      <c r="B8" s="98"/>
      <c r="D8" s="98"/>
      <c r="E8" s="105"/>
      <c r="F8" s="99"/>
      <c r="G8" s="98"/>
      <c r="H8" s="98"/>
      <c r="I8" s="98"/>
      <c r="J8" s="98"/>
      <c r="L8" s="140"/>
      <c r="M8" s="140"/>
    </row>
    <row r="9" spans="2:13" ht="20.100000000000001" customHeight="1" x14ac:dyDescent="0.25">
      <c r="B9" s="111" t="s">
        <v>124</v>
      </c>
      <c r="C9" s="122"/>
      <c r="D9" s="114"/>
      <c r="E9" s="129"/>
      <c r="F9" s="100"/>
      <c r="G9" s="112" t="s">
        <v>1</v>
      </c>
      <c r="H9" s="112"/>
      <c r="I9" s="112"/>
      <c r="J9" s="112"/>
      <c r="K9" s="109"/>
      <c r="L9" s="1"/>
      <c r="M9" s="91"/>
    </row>
    <row r="10" spans="2:13" ht="15.75" x14ac:dyDescent="0.25">
      <c r="B10" s="115" t="s">
        <v>2</v>
      </c>
      <c r="C10" s="139" t="s">
        <v>122</v>
      </c>
      <c r="D10" s="114"/>
      <c r="E10" s="130"/>
      <c r="F10" s="101"/>
      <c r="G10" s="112" t="s">
        <v>3</v>
      </c>
      <c r="H10" s="112"/>
      <c r="I10" s="112"/>
      <c r="J10" s="126">
        <f>MIN(val_MonthlyGross,IF(val_MaritalStatus="Married filing jointly or Qualifying widow(er)",val_FedMarriedWH,IF(val_MaritalStatus="Single or Married filing separately",val_FedSingleWH,val_FedHoHWH))+val_FedAddWH)</f>
        <v>0</v>
      </c>
      <c r="K10" s="109"/>
    </row>
    <row r="11" spans="2:13" ht="30" customHeight="1" x14ac:dyDescent="0.25">
      <c r="B11" s="111" t="s">
        <v>123</v>
      </c>
      <c r="C11" s="138" t="s">
        <v>116</v>
      </c>
      <c r="D11" s="116"/>
      <c r="E11" s="131" t="s">
        <v>126</v>
      </c>
      <c r="F11" s="100"/>
      <c r="G11" s="112" t="s">
        <v>4</v>
      </c>
      <c r="H11" s="112"/>
      <c r="I11" s="112"/>
      <c r="J11" s="126">
        <f>MIN(val_MonthlyGross-J10,val_StateCalcWH+val_StateAddWH)</f>
        <v>0</v>
      </c>
      <c r="K11" s="109"/>
      <c r="L11" s="1"/>
      <c r="M11" s="91"/>
    </row>
    <row r="12" spans="2:13" ht="20.100000000000001" customHeight="1" x14ac:dyDescent="0.25">
      <c r="B12" s="111" t="s">
        <v>101</v>
      </c>
      <c r="C12" s="138" t="s">
        <v>117</v>
      </c>
      <c r="D12" s="117"/>
      <c r="E12" s="129"/>
      <c r="F12" s="100"/>
      <c r="G12" s="112"/>
      <c r="H12" s="127"/>
      <c r="I12" s="127"/>
      <c r="J12" s="127"/>
      <c r="K12" s="109"/>
      <c r="L12" s="1"/>
      <c r="M12" s="91"/>
    </row>
    <row r="13" spans="2:13" ht="20.100000000000001" customHeight="1" x14ac:dyDescent="0.25">
      <c r="B13" s="111" t="s">
        <v>102</v>
      </c>
      <c r="C13" s="138">
        <v>3</v>
      </c>
      <c r="D13" s="118"/>
      <c r="E13" s="129"/>
      <c r="F13" s="100"/>
      <c r="G13" s="112" t="s">
        <v>6</v>
      </c>
      <c r="H13" s="127"/>
      <c r="I13" s="127"/>
      <c r="J13" s="128">
        <f>MAX(0,val_MonthlyGross-val_FedWH-val_StateWH)</f>
        <v>0</v>
      </c>
      <c r="K13" s="109"/>
      <c r="L13" s="1"/>
      <c r="M13" s="91"/>
    </row>
    <row r="14" spans="2:13" ht="20.100000000000001" customHeight="1" x14ac:dyDescent="0.25">
      <c r="B14" s="111" t="s">
        <v>103</v>
      </c>
      <c r="C14" s="138" t="s">
        <v>118</v>
      </c>
      <c r="D14" s="119"/>
      <c r="E14" s="129"/>
      <c r="F14" s="100"/>
      <c r="G14" s="103"/>
      <c r="H14" s="103"/>
      <c r="I14" s="103"/>
      <c r="J14" s="103"/>
      <c r="K14" s="109"/>
      <c r="L14" s="1"/>
      <c r="M14" s="91"/>
    </row>
    <row r="15" spans="2:13" ht="20.100000000000001" customHeight="1" x14ac:dyDescent="0.25">
      <c r="B15" s="111" t="s">
        <v>104</v>
      </c>
      <c r="C15" s="138" t="s">
        <v>119</v>
      </c>
      <c r="D15" s="120"/>
      <c r="E15" s="129"/>
      <c r="F15" s="100"/>
      <c r="G15" s="134" t="str">
        <f>IF(E21=0,"","Change to have Desired Federal Withholding:")</f>
        <v/>
      </c>
      <c r="H15" s="134"/>
      <c r="I15" s="135"/>
      <c r="J15" s="136"/>
      <c r="K15" s="109"/>
      <c r="L15" s="1"/>
      <c r="M15" s="91"/>
    </row>
    <row r="16" spans="2:13" ht="20.100000000000001" customHeight="1" x14ac:dyDescent="0.25">
      <c r="B16" s="124" t="s">
        <v>109</v>
      </c>
      <c r="C16" s="138" t="s">
        <v>120</v>
      </c>
      <c r="D16" s="121"/>
      <c r="E16" s="129"/>
      <c r="F16" s="100"/>
      <c r="G16" s="141" t="str">
        <f>IF(val_FedDesired=0,"",INDEX(TaxCalculation!K20:K23,MATCH("X",TaxCalculation!R20:R23,0)))</f>
        <v/>
      </c>
      <c r="H16" s="141"/>
      <c r="I16" s="141"/>
      <c r="J16" s="141"/>
      <c r="K16" s="109"/>
      <c r="L16" s="1"/>
      <c r="M16" s="91"/>
    </row>
    <row r="17" spans="2:11" ht="49.5" customHeight="1" x14ac:dyDescent="0.25">
      <c r="B17" s="108" t="s">
        <v>7</v>
      </c>
      <c r="C17" s="104"/>
      <c r="D17" s="101"/>
      <c r="E17" s="132"/>
      <c r="F17" s="101"/>
      <c r="G17" s="141"/>
      <c r="H17" s="141"/>
      <c r="I17" s="141"/>
      <c r="J17" s="141"/>
      <c r="K17" s="109"/>
    </row>
    <row r="18" spans="2:11" ht="20.100000000000001" customHeight="1" x14ac:dyDescent="0.25">
      <c r="B18" s="111" t="s">
        <v>5</v>
      </c>
      <c r="C18" s="106"/>
      <c r="D18" s="114"/>
      <c r="E18" s="133"/>
      <c r="F18" s="101"/>
      <c r="G18" s="141"/>
      <c r="H18" s="141"/>
      <c r="I18" s="141"/>
      <c r="J18" s="141"/>
      <c r="K18" s="109"/>
    </row>
    <row r="19" spans="2:11" ht="20.100000000000001" customHeight="1" x14ac:dyDescent="0.25">
      <c r="B19" s="111" t="s">
        <v>109</v>
      </c>
      <c r="C19" s="106"/>
      <c r="D19" s="114"/>
      <c r="E19" s="129"/>
      <c r="F19" s="101"/>
      <c r="G19" s="141"/>
      <c r="H19" s="141"/>
      <c r="I19" s="141"/>
      <c r="J19" s="141"/>
      <c r="K19" s="109"/>
    </row>
    <row r="20" spans="2:11" ht="24.95" customHeight="1" x14ac:dyDescent="0.25">
      <c r="B20" s="107"/>
      <c r="C20" s="104"/>
      <c r="D20" s="101"/>
      <c r="E20" s="130"/>
      <c r="F20" s="101"/>
      <c r="G20" s="141"/>
      <c r="H20" s="141"/>
      <c r="I20" s="141"/>
      <c r="J20" s="141"/>
      <c r="K20" s="109"/>
    </row>
    <row r="21" spans="2:11" ht="20.100000000000001" customHeight="1" x14ac:dyDescent="0.25">
      <c r="B21" s="125" t="s">
        <v>8</v>
      </c>
      <c r="C21" s="106"/>
      <c r="D21" s="114"/>
      <c r="E21" s="129"/>
      <c r="F21" s="101"/>
      <c r="G21" s="134" t="str">
        <f>IF(E22=0,"","Change to have Desired RI Withholding:")</f>
        <v/>
      </c>
      <c r="H21" s="134"/>
      <c r="I21" s="134"/>
      <c r="J21" s="136"/>
      <c r="K21" s="109"/>
    </row>
    <row r="22" spans="2:11" ht="20.100000000000001" customHeight="1" x14ac:dyDescent="0.25">
      <c r="B22" s="113" t="s">
        <v>9</v>
      </c>
      <c r="C22" s="106"/>
      <c r="D22" s="114"/>
      <c r="E22" s="129"/>
      <c r="F22" s="101"/>
      <c r="G22" s="141" t="str">
        <f>IF(val_StateDesired=0,"",INDEX(TaxCalculation!K56:K59,MATCH("X",TaxCalculation!R56:R59,0)))</f>
        <v/>
      </c>
      <c r="H22" s="141"/>
      <c r="I22" s="141"/>
      <c r="J22" s="141"/>
      <c r="K22" s="109"/>
    </row>
    <row r="23" spans="2:11" x14ac:dyDescent="0.25">
      <c r="B23" s="1"/>
      <c r="C23" s="1"/>
      <c r="D23" s="1"/>
      <c r="E23" s="1"/>
      <c r="F23" s="1"/>
      <c r="G23" s="141"/>
      <c r="H23" s="141"/>
      <c r="I23" s="141"/>
      <c r="J23" s="141"/>
    </row>
    <row r="24" spans="2:11" ht="15.75" x14ac:dyDescent="0.25">
      <c r="B24" s="123" t="s">
        <v>125</v>
      </c>
      <c r="F24" s="1"/>
      <c r="G24" s="137"/>
      <c r="H24" s="137"/>
      <c r="I24" s="137"/>
      <c r="J24" s="137"/>
    </row>
    <row r="40" spans="5:5" x14ac:dyDescent="0.25">
      <c r="E40" s="7"/>
    </row>
  </sheetData>
  <sheetProtection algorithmName="SHA-512" hashValue="M3IkukxjbwY7FgRYym95dwpxkT9S2fRLl3XKpPMsiL8tjP5mVghVferYy7Vi70e7udOPfC+758N7CReqcT23gg==" saltValue="uiXBElKTZfuBsY6DDxSTrg==" spinCount="100000" sheet="1" selectLockedCells="1"/>
  <mergeCells count="8">
    <mergeCell ref="L8:M8"/>
    <mergeCell ref="G22:J23"/>
    <mergeCell ref="B2:J2"/>
    <mergeCell ref="B3:J3"/>
    <mergeCell ref="B6:J6"/>
    <mergeCell ref="G7:J7"/>
    <mergeCell ref="B4:J5"/>
    <mergeCell ref="G16:J20"/>
  </mergeCells>
  <dataValidations count="9">
    <dataValidation type="decimal" operator="greaterThan" allowBlank="1" showInputMessage="1" showErrorMessage="1" promptTitle="Gross Monthly Pension" prompt="Any Dollar Value &gt; $0.00" sqref="E9" xr:uid="{00000000-0002-0000-0000-000000000000}">
      <formula1>0</formula1>
    </dataValidation>
    <dataValidation type="whole" allowBlank="1" showInputMessage="1" showErrorMessage="1" promptTitle="Number of Exemptions" prompt="Any # between 0 &amp; 750" sqref="E18" xr:uid="{00000000-0002-0000-0000-000001000000}">
      <formula1>0</formula1>
      <formula2>750</formula2>
    </dataValidation>
    <dataValidation type="decimal" operator="greaterThanOrEqual" allowBlank="1" showInputMessage="1" showErrorMessage="1" promptTitle="Additional Withholding" prompt="Any Dollar Value &gt;= $0.00" sqref="E16 E19" xr:uid="{00000000-0002-0000-0000-000002000000}">
      <formula1>0</formula1>
    </dataValidation>
    <dataValidation type="decimal" operator="greaterThanOrEqual" allowBlank="1" showInputMessage="1" showErrorMessage="1" promptTitle="Desired RI Withholding" prompt="Any Dollar Value &gt;= $0.00" sqref="E22" xr:uid="{00000000-0002-0000-0000-000003000000}">
      <formula1>0</formula1>
    </dataValidation>
    <dataValidation type="decimal" operator="greaterThanOrEqual" allowBlank="1" showInputMessage="1" showErrorMessage="1" promptTitle="Desired Fed Withholding" prompt="Any Dollar Value &gt;= $0.00" sqref="E21" xr:uid="{00000000-0002-0000-0000-000004000000}">
      <formula1>0</formula1>
    </dataValidation>
    <dataValidation allowBlank="1" showInputMessage="1" showErrorMessage="1" promptTitle="Total W-2 Income &amp; Add. Pension" prompt="Any Dollar Value &gt;= $0.00" sqref="E12" xr:uid="{00000000-0002-0000-0000-000005000000}"/>
    <dataValidation allowBlank="1" showInputMessage="1" showErrorMessage="1" promptTitle="Deductions" prompt="Any Dollar Value &gt;= $0.00" sqref="E15" xr:uid="{00000000-0002-0000-0000-000006000000}"/>
    <dataValidation allowBlank="1" showInputMessage="1" showErrorMessage="1" promptTitle="Dependent Credits" prompt="Any Dollar Value &gt;= $0.00" sqref="E13" xr:uid="{00000000-0002-0000-0000-000007000000}"/>
    <dataValidation allowBlank="1" showInputMessage="1" showErrorMessage="1" promptTitle="Other Income" prompt="Any Dollar Value &gt;= $0.00" sqref="E14" xr:uid="{00000000-0002-0000-0000-000008000000}"/>
  </dataValidations>
  <pageMargins left="0.25" right="0.25" top="0.75" bottom="0.75" header="0.3" footer="0.3"/>
  <pageSetup scale="58" fitToHeight="0" orientation="landscape" horizontalDpi="4294967293" verticalDpi="4294967293" r:id="rId1"/>
  <customProperties>
    <customPr name="SheetId" r:id="rId2"/>
  </customProperties>
  <extLst>
    <ext xmlns:x14="http://schemas.microsoft.com/office/spreadsheetml/2009/9/main" uri="{78C0D931-6437-407d-A8EE-F0AAD7539E65}">
      <x14:conditionalFormattings>
        <x14:conditionalFormatting xmlns:xm="http://schemas.microsoft.com/office/excel/2006/main">
          <x14:cfRule type="expression" priority="1" id="{17687D42-1C5B-4010-BF78-68DAE263B34E}">
            <xm:f>OR(ISBLANK('Computational Bridge Calc'!$E$8),ISBLANK('Computational Bridge Calc'!$E$10))</xm:f>
            <x14:dxf>
              <font>
                <color theme="0"/>
              </font>
              <fill>
                <patternFill>
                  <bgColor theme="0"/>
                </patternFill>
              </fill>
            </x14:dxf>
          </x14:cfRule>
          <xm:sqref>L8:M16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Marital Status" prompt="Select Single, Married or Head of household" xr:uid="{00000000-0002-0000-0000-000009000000}">
          <x14:formula1>
            <xm:f>TaxCalculation!$N$10:$N$12</xm:f>
          </x14:formula1>
          <xm:sqref>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36"/>
  <sheetViews>
    <sheetView showGridLines="0" zoomScaleNormal="100" workbookViewId="0">
      <selection activeCell="E8" sqref="E8"/>
    </sheetView>
  </sheetViews>
  <sheetFormatPr defaultColWidth="9.140625" defaultRowHeight="15" x14ac:dyDescent="0.25"/>
  <cols>
    <col min="1" max="1" width="9.140625" customWidth="1"/>
    <col min="2" max="2" width="20" customWidth="1"/>
    <col min="3" max="3" width="25.7109375" customWidth="1"/>
    <col min="4" max="4" width="5.7109375" customWidth="1"/>
    <col min="5" max="5" width="37.42578125" customWidth="1"/>
    <col min="6" max="6" width="15.140625" customWidth="1"/>
    <col min="7" max="7" width="10" customWidth="1"/>
    <col min="8" max="8" width="13.42578125" customWidth="1"/>
    <col min="9" max="9" width="8.85546875" customWidth="1"/>
    <col min="10" max="10" width="10.85546875" customWidth="1"/>
  </cols>
  <sheetData>
    <row r="2" spans="2:10" ht="66.75" customHeight="1" x14ac:dyDescent="0.35">
      <c r="B2" s="147" t="str">
        <f>"This workbook allows you to predict both your Federal and Rhode Island withholding for "&amp;TaxCalculation!D4</f>
        <v>This workbook allows you to predict both your Federal and Rhode Island withholding for 2023</v>
      </c>
      <c r="C2" s="147"/>
      <c r="D2" s="147"/>
      <c r="E2" s="147"/>
      <c r="F2" s="147"/>
      <c r="G2" s="147"/>
      <c r="H2" s="147"/>
      <c r="I2" s="147"/>
      <c r="J2" s="147"/>
    </row>
    <row r="3" spans="2:10" x14ac:dyDescent="0.25">
      <c r="B3" s="148" t="s">
        <v>0</v>
      </c>
      <c r="C3" s="148"/>
      <c r="D3" s="148"/>
      <c r="E3" s="148"/>
      <c r="F3" s="148"/>
      <c r="G3" s="148"/>
      <c r="H3" s="148"/>
      <c r="I3" s="148"/>
      <c r="J3" s="148"/>
    </row>
    <row r="4" spans="2:10" x14ac:dyDescent="0.25">
      <c r="B4" s="149" t="s">
        <v>96</v>
      </c>
      <c r="C4" s="148"/>
      <c r="D4" s="148"/>
      <c r="E4" s="148"/>
      <c r="F4" s="148"/>
      <c r="G4" s="148"/>
      <c r="H4" s="148"/>
      <c r="I4" s="148"/>
      <c r="J4" s="148"/>
    </row>
    <row r="5" spans="2:10" x14ac:dyDescent="0.25">
      <c r="B5" s="148"/>
      <c r="C5" s="148"/>
      <c r="D5" s="148"/>
      <c r="E5" s="148"/>
      <c r="F5" s="148"/>
      <c r="G5" s="148"/>
      <c r="H5" s="148"/>
      <c r="I5" s="148"/>
      <c r="J5" s="148"/>
    </row>
    <row r="8" spans="2:10" x14ac:dyDescent="0.25">
      <c r="B8" s="1" t="s">
        <v>1</v>
      </c>
      <c r="C8" s="1"/>
      <c r="D8" s="1"/>
      <c r="E8" s="5"/>
      <c r="F8" s="1"/>
      <c r="G8" s="1" t="s">
        <v>1</v>
      </c>
      <c r="H8" s="1"/>
      <c r="I8" s="1"/>
      <c r="J8" s="1"/>
    </row>
    <row r="9" spans="2:10" x14ac:dyDescent="0.25">
      <c r="B9" s="1" t="s">
        <v>2</v>
      </c>
      <c r="C9" s="1"/>
      <c r="D9" s="1"/>
      <c r="E9" s="1"/>
      <c r="F9" s="1"/>
      <c r="G9" s="1" t="s">
        <v>3</v>
      </c>
      <c r="H9" s="1"/>
      <c r="I9" s="1"/>
      <c r="J9" s="85">
        <f>MIN(OLD_val_MonthlyGross,IF(OLD_val_MaritalStatus="Married filing jointly or Qualifying widow(er)",OLD_val_FedMarriedWH,OLD_val_FedSingleWH)+OLD_val_FedAddWH)</f>
        <v>0</v>
      </c>
    </row>
    <row r="10" spans="2:10" x14ac:dyDescent="0.25">
      <c r="B10" s="1" t="s">
        <v>88</v>
      </c>
      <c r="C10" s="1"/>
      <c r="D10" s="1"/>
      <c r="E10" s="8" t="s">
        <v>99</v>
      </c>
      <c r="F10" s="1"/>
      <c r="G10" s="1" t="s">
        <v>4</v>
      </c>
      <c r="H10" s="1"/>
      <c r="I10" s="1"/>
      <c r="J10" s="85">
        <f>MIN(OLD_val_MonthlyGross-J9,OLD_val_StateCalcWH+OLD_val_StateAddWH)</f>
        <v>0</v>
      </c>
    </row>
    <row r="11" spans="2:10" x14ac:dyDescent="0.25">
      <c r="B11" s="1" t="s">
        <v>5</v>
      </c>
      <c r="C11" s="1"/>
      <c r="D11" s="1"/>
      <c r="E11" s="6"/>
      <c r="F11" s="1"/>
      <c r="G11" s="1"/>
      <c r="H11" s="2"/>
      <c r="I11" s="2"/>
      <c r="J11" s="2"/>
    </row>
    <row r="12" spans="2:10" x14ac:dyDescent="0.25">
      <c r="B12" s="1" t="s">
        <v>109</v>
      </c>
      <c r="C12" s="1"/>
      <c r="D12" s="1"/>
      <c r="E12" s="5"/>
      <c r="F12" s="1"/>
      <c r="G12" s="1" t="s">
        <v>6</v>
      </c>
      <c r="H12" s="2"/>
      <c r="I12" s="2"/>
      <c r="J12" s="3">
        <f>MAX(0,val_MonthlyGross-val_FedWH-val_StateWH)</f>
        <v>0</v>
      </c>
    </row>
    <row r="13" spans="2:10" x14ac:dyDescent="0.25">
      <c r="B13" s="1" t="s">
        <v>7</v>
      </c>
      <c r="C13" s="1"/>
      <c r="D13" s="1"/>
      <c r="E13" s="4"/>
      <c r="F13" s="1"/>
      <c r="G13" s="1"/>
      <c r="H13" s="1"/>
      <c r="I13" s="1"/>
      <c r="J13" s="1"/>
    </row>
    <row r="14" spans="2:10" ht="15" customHeight="1" x14ac:dyDescent="0.25">
      <c r="B14" s="1" t="s">
        <v>5</v>
      </c>
      <c r="C14" s="1"/>
      <c r="D14" s="1"/>
      <c r="E14" s="6"/>
      <c r="F14" s="1"/>
    </row>
    <row r="15" spans="2:10" x14ac:dyDescent="0.25">
      <c r="B15" s="1" t="s">
        <v>109</v>
      </c>
      <c r="C15" s="1"/>
      <c r="D15" s="1"/>
      <c r="E15" s="5"/>
      <c r="F15" s="1"/>
    </row>
    <row r="16" spans="2:10" ht="24.95" customHeight="1" x14ac:dyDescent="0.25">
      <c r="B16" s="1"/>
      <c r="C16" s="1"/>
      <c r="D16" s="1"/>
      <c r="E16" s="1"/>
      <c r="F16" s="1"/>
    </row>
    <row r="17" spans="1:6" ht="24.95" customHeight="1" x14ac:dyDescent="0.25">
      <c r="A17" s="87" t="s">
        <v>97</v>
      </c>
      <c r="B17" s="1"/>
      <c r="C17" s="1"/>
      <c r="D17" s="1"/>
      <c r="E17" s="1"/>
      <c r="F17" s="1"/>
    </row>
    <row r="18" spans="1:6" ht="15.75" x14ac:dyDescent="0.25">
      <c r="A18" s="87"/>
      <c r="B18" s="1" t="s">
        <v>1</v>
      </c>
      <c r="C18" s="1"/>
      <c r="D18" s="1"/>
      <c r="E18" s="89" t="str">
        <f>IF(OLD_val_MonthlyGross="","",OLD_val_MonthlyGross)</f>
        <v/>
      </c>
      <c r="F18" s="1"/>
    </row>
    <row r="19" spans="1:6" x14ac:dyDescent="0.25">
      <c r="F19" s="1"/>
    </row>
    <row r="20" spans="1:6" x14ac:dyDescent="0.25">
      <c r="B20" s="1" t="s">
        <v>98</v>
      </c>
      <c r="D20" s="92"/>
      <c r="E20" s="88" t="str">
        <f>IF(OLD_val_MaritalStatus="","",IF(OLD_val_MaritalStatus="Single or Married filing seperately","Single or Married filing seperately","Married filing jointly or Qualifying widow(er)"))</f>
        <v>Single or Married filing seperately</v>
      </c>
    </row>
    <row r="21" spans="1:6" x14ac:dyDescent="0.25">
      <c r="B21" s="1" t="s">
        <v>105</v>
      </c>
      <c r="D21" s="93"/>
      <c r="E21" s="89"/>
    </row>
    <row r="22" spans="1:6" x14ac:dyDescent="0.25">
      <c r="B22" s="1" t="s">
        <v>106</v>
      </c>
      <c r="D22" s="97"/>
      <c r="E22" s="89"/>
    </row>
    <row r="23" spans="1:6" x14ac:dyDescent="0.25">
      <c r="B23" s="1" t="s">
        <v>107</v>
      </c>
      <c r="D23" s="94"/>
      <c r="E23" s="89">
        <f>IF(OLD_val_MaritalStatus="Single or Married filing seperately",8600,IF(OLD_val_MaritalStatus="Married filing jointly or Qualifying widow(er)",12900,""))</f>
        <v>8600</v>
      </c>
    </row>
    <row r="24" spans="1:6" x14ac:dyDescent="0.25">
      <c r="B24" s="1" t="s">
        <v>108</v>
      </c>
      <c r="D24" s="95"/>
      <c r="E24" s="89" t="str">
        <f>IF(OLD_val_FedNumExempt="","",OLD_val_FedNumExempt*4300)</f>
        <v/>
      </c>
    </row>
    <row r="25" spans="1:6" x14ac:dyDescent="0.25">
      <c r="B25" s="1" t="s">
        <v>110</v>
      </c>
      <c r="D25" s="96"/>
      <c r="E25" s="89" t="str">
        <f>IF(OLD_val_FedAddWH="","",OLD_val_FedAddWH)</f>
        <v/>
      </c>
    </row>
    <row r="36" spans="5:5" x14ac:dyDescent="0.25">
      <c r="E36" s="7"/>
    </row>
  </sheetData>
  <sheetProtection algorithmName="SHA-512" hashValue="2ZzTgZLoHkymdD1+/8QFdypNbkjNlES7oIuqDdAn/aPqcL0uwjmB0jiC02aXJ45PciTmqtTSKvz8kmsCPz4Lsw==" saltValue="CLSUwtiTCIFt8w8LciTCbg==" spinCount="100000" sheet="1" selectLockedCells="1"/>
  <mergeCells count="4">
    <mergeCell ref="B2:J2"/>
    <mergeCell ref="B3:J3"/>
    <mergeCell ref="B4:J4"/>
    <mergeCell ref="B5:J5"/>
  </mergeCells>
  <dataValidations count="3">
    <dataValidation type="decimal" operator="greaterThanOrEqual" allowBlank="1" showInputMessage="1" showErrorMessage="1" promptTitle="Additional Withholding" prompt="Any Dollar Value &gt;= $0.00" sqref="E12 E15" xr:uid="{00000000-0002-0000-0100-000000000000}">
      <formula1>0</formula1>
    </dataValidation>
    <dataValidation type="whole" allowBlank="1" showInputMessage="1" showErrorMessage="1" promptTitle="Number of Exemptions" prompt="Any # between 0 &amp; 750" sqref="E11 E14" xr:uid="{00000000-0002-0000-0100-000001000000}">
      <formula1>0</formula1>
      <formula2>750</formula2>
    </dataValidation>
    <dataValidation type="decimal" operator="greaterThan" allowBlank="1" showInputMessage="1" showErrorMessage="1" promptTitle="Gross Monthly Pension" prompt="Any Dollar Value &gt; $0.00" sqref="E8" xr:uid="{00000000-0002-0000-0100-000002000000}">
      <formula1>0</formula1>
    </dataValidation>
  </dataValidations>
  <pageMargins left="0.7" right="0.7" top="0.75" bottom="0.75" header="0.3" footer="0.3"/>
  <pageSetup orientation="portrait" horizontalDpi="4294967293" verticalDpi="4294967293" r:id="rId1"/>
  <customProperties>
    <customPr name="Sheet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promptTitle="Marital Status" prompt="Select Single or Married" xr:uid="{00000000-0002-0000-0100-000003000000}">
          <x14:formula1>
            <xm:f>TaxCalculation!$N$10:$N$11</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3" tint="0.59999389629810485"/>
  </sheetPr>
  <dimension ref="B3:AD42"/>
  <sheetViews>
    <sheetView zoomScaleNormal="100" workbookViewId="0">
      <selection activeCell="B2" sqref="B2:J2"/>
    </sheetView>
  </sheetViews>
  <sheetFormatPr defaultColWidth="11.42578125" defaultRowHeight="15" x14ac:dyDescent="0.25"/>
  <cols>
    <col min="1" max="1" width="3.7109375" customWidth="1"/>
    <col min="2" max="2" width="21.85546875" bestFit="1" customWidth="1"/>
  </cols>
  <sheetData>
    <row r="3" spans="2:30" ht="15.75" thickBot="1" x14ac:dyDescent="0.3"/>
    <row r="4" spans="2:30" ht="15.75" thickBot="1" x14ac:dyDescent="0.3">
      <c r="B4" s="156" t="s">
        <v>17</v>
      </c>
      <c r="C4" s="157"/>
      <c r="D4" s="157"/>
      <c r="E4" s="157"/>
      <c r="F4" s="157"/>
      <c r="G4" s="157"/>
      <c r="H4" s="157"/>
      <c r="I4" s="157"/>
      <c r="J4" s="157"/>
      <c r="K4" s="157"/>
      <c r="L4" s="157"/>
      <c r="M4" s="157"/>
      <c r="N4" s="157"/>
      <c r="O4" s="157"/>
      <c r="P4" s="157"/>
      <c r="Q4" s="157"/>
      <c r="R4" s="157"/>
      <c r="S4" s="157"/>
      <c r="T4" s="157"/>
      <c r="U4" s="157"/>
      <c r="V4" s="157"/>
      <c r="W4" s="157"/>
      <c r="X4" s="157"/>
      <c r="Y4" s="157"/>
      <c r="Z4" s="158"/>
    </row>
    <row r="5" spans="2:30" ht="15.75" thickBot="1" x14ac:dyDescent="0.3">
      <c r="B5" s="23" t="s">
        <v>29</v>
      </c>
      <c r="C5" s="159">
        <v>2023</v>
      </c>
      <c r="D5" s="160"/>
      <c r="E5" s="161"/>
      <c r="F5" s="159">
        <v>2022</v>
      </c>
      <c r="G5" s="160"/>
      <c r="H5" s="161"/>
      <c r="I5" s="159">
        <v>2021</v>
      </c>
      <c r="J5" s="160"/>
      <c r="K5" s="161"/>
      <c r="L5" s="159">
        <v>2020</v>
      </c>
      <c r="M5" s="160"/>
      <c r="N5" s="161"/>
      <c r="O5" s="159">
        <v>2019</v>
      </c>
      <c r="P5" s="160"/>
      <c r="Q5" s="161"/>
      <c r="R5" s="159">
        <v>2018</v>
      </c>
      <c r="S5" s="160"/>
      <c r="T5" s="161"/>
      <c r="U5" s="159">
        <v>2017</v>
      </c>
      <c r="V5" s="160"/>
      <c r="W5" s="161"/>
      <c r="X5" s="159">
        <v>2016</v>
      </c>
      <c r="Y5" s="160"/>
      <c r="Z5" s="161"/>
      <c r="AA5" s="159">
        <v>2015</v>
      </c>
      <c r="AB5" s="160"/>
      <c r="AC5" s="161"/>
    </row>
    <row r="6" spans="2:30" ht="15.75" thickBot="1" x14ac:dyDescent="0.3">
      <c r="B6" s="30" t="s">
        <v>12</v>
      </c>
      <c r="C6" s="150">
        <v>4300</v>
      </c>
      <c r="D6" s="151"/>
      <c r="E6" s="152"/>
      <c r="F6" s="150">
        <v>4300</v>
      </c>
      <c r="G6" s="151"/>
      <c r="H6" s="152"/>
      <c r="I6" s="150">
        <v>4300</v>
      </c>
      <c r="J6" s="151"/>
      <c r="K6" s="152"/>
      <c r="L6" s="150">
        <v>4300</v>
      </c>
      <c r="M6" s="151"/>
      <c r="N6" s="152"/>
      <c r="O6" s="150">
        <v>4200</v>
      </c>
      <c r="P6" s="151"/>
      <c r="Q6" s="152"/>
      <c r="R6" s="150">
        <v>4150</v>
      </c>
      <c r="S6" s="151"/>
      <c r="T6" s="152"/>
      <c r="U6" s="150">
        <v>4050</v>
      </c>
      <c r="V6" s="151"/>
      <c r="W6" s="152"/>
      <c r="X6" s="150">
        <v>4050</v>
      </c>
      <c r="Y6" s="151"/>
      <c r="Z6" s="152"/>
      <c r="AA6" s="150">
        <v>4000</v>
      </c>
      <c r="AB6" s="151"/>
      <c r="AC6" s="152"/>
    </row>
    <row r="7" spans="2:30" ht="15.75" thickBot="1" x14ac:dyDescent="0.3">
      <c r="B7" s="162" t="s">
        <v>26</v>
      </c>
      <c r="C7" s="31" t="s">
        <v>18</v>
      </c>
      <c r="D7" s="32" t="s">
        <v>19</v>
      </c>
      <c r="E7" s="33" t="s">
        <v>20</v>
      </c>
      <c r="F7" s="31" t="s">
        <v>18</v>
      </c>
      <c r="G7" s="32" t="s">
        <v>19</v>
      </c>
      <c r="H7" s="33" t="s">
        <v>20</v>
      </c>
      <c r="I7" s="31" t="s">
        <v>18</v>
      </c>
      <c r="J7" s="32" t="s">
        <v>19</v>
      </c>
      <c r="K7" s="33" t="s">
        <v>20</v>
      </c>
      <c r="L7" s="31" t="s">
        <v>18</v>
      </c>
      <c r="M7" s="32" t="s">
        <v>19</v>
      </c>
      <c r="N7" s="33" t="s">
        <v>20</v>
      </c>
      <c r="O7" s="31" t="s">
        <v>18</v>
      </c>
      <c r="P7" s="32" t="s">
        <v>19</v>
      </c>
      <c r="Q7" s="33" t="s">
        <v>20</v>
      </c>
      <c r="R7" s="31" t="s">
        <v>18</v>
      </c>
      <c r="S7" s="32" t="s">
        <v>19</v>
      </c>
      <c r="T7" s="33" t="s">
        <v>20</v>
      </c>
      <c r="U7" s="31" t="s">
        <v>18</v>
      </c>
      <c r="V7" s="32" t="s">
        <v>19</v>
      </c>
      <c r="W7" s="33" t="s">
        <v>20</v>
      </c>
      <c r="X7" s="31" t="s">
        <v>18</v>
      </c>
      <c r="Y7" s="32" t="s">
        <v>19</v>
      </c>
      <c r="Z7" s="33" t="s">
        <v>20</v>
      </c>
      <c r="AA7" s="31" t="s">
        <v>18</v>
      </c>
      <c r="AB7" s="32" t="s">
        <v>19</v>
      </c>
      <c r="AC7" s="33" t="s">
        <v>20</v>
      </c>
    </row>
    <row r="8" spans="2:30" x14ac:dyDescent="0.25">
      <c r="B8" s="163"/>
      <c r="C8" s="24">
        <v>5250</v>
      </c>
      <c r="D8" s="25">
        <v>0.1</v>
      </c>
      <c r="E8" s="16">
        <v>0</v>
      </c>
      <c r="F8" s="24">
        <v>4350</v>
      </c>
      <c r="G8" s="25">
        <v>0.1</v>
      </c>
      <c r="H8" s="16">
        <v>0</v>
      </c>
      <c r="I8" s="24">
        <v>3950</v>
      </c>
      <c r="J8" s="25">
        <v>0.1</v>
      </c>
      <c r="K8" s="16">
        <v>0</v>
      </c>
      <c r="L8" s="24">
        <v>3800</v>
      </c>
      <c r="M8" s="25">
        <v>0.1</v>
      </c>
      <c r="N8" s="16">
        <v>0</v>
      </c>
      <c r="O8" s="24">
        <v>3800</v>
      </c>
      <c r="P8" s="25">
        <v>0.1</v>
      </c>
      <c r="Q8" s="16">
        <v>0</v>
      </c>
      <c r="R8" s="24">
        <v>3700</v>
      </c>
      <c r="S8" s="25">
        <v>0.1</v>
      </c>
      <c r="T8" s="16">
        <v>0</v>
      </c>
      <c r="U8" s="24">
        <v>2300</v>
      </c>
      <c r="V8" s="25">
        <v>0.1</v>
      </c>
      <c r="W8" s="16">
        <v>0</v>
      </c>
      <c r="X8" s="24">
        <v>2250</v>
      </c>
      <c r="Y8" s="25">
        <v>0.1</v>
      </c>
      <c r="Z8" s="16">
        <v>0</v>
      </c>
      <c r="AA8" s="24">
        <v>2300</v>
      </c>
      <c r="AB8" s="25">
        <v>0.1</v>
      </c>
      <c r="AC8" s="16">
        <v>0</v>
      </c>
    </row>
    <row r="9" spans="2:30" x14ac:dyDescent="0.25">
      <c r="B9" s="163"/>
      <c r="C9" s="26">
        <v>16250</v>
      </c>
      <c r="D9" s="27">
        <v>0.12</v>
      </c>
      <c r="E9" s="19">
        <f>(C9-C8)*D8+E8</f>
        <v>1100</v>
      </c>
      <c r="F9" s="26">
        <v>14625</v>
      </c>
      <c r="G9" s="27">
        <v>0.12</v>
      </c>
      <c r="H9" s="19">
        <f>(F9-F8)*G8+H8</f>
        <v>1027.5</v>
      </c>
      <c r="I9" s="26">
        <v>13900</v>
      </c>
      <c r="J9" s="27">
        <v>0.12</v>
      </c>
      <c r="K9" s="19">
        <f>(I9-I8)*J8+K8</f>
        <v>995</v>
      </c>
      <c r="L9" s="26">
        <v>13675</v>
      </c>
      <c r="M9" s="27">
        <v>0.12</v>
      </c>
      <c r="N9" s="19">
        <f>(L9-L8)*M8+N8</f>
        <v>987.5</v>
      </c>
      <c r="O9" s="26">
        <v>13500</v>
      </c>
      <c r="P9" s="27">
        <v>0.12</v>
      </c>
      <c r="Q9" s="19">
        <f>(O9-O8)*P8+Q8</f>
        <v>970</v>
      </c>
      <c r="R9" s="26">
        <v>13225</v>
      </c>
      <c r="S9" s="27">
        <v>0.12</v>
      </c>
      <c r="T9" s="19">
        <f>(R9-R8)*S8+T8</f>
        <v>952.5</v>
      </c>
      <c r="U9" s="26">
        <v>11625</v>
      </c>
      <c r="V9" s="27">
        <v>0.15</v>
      </c>
      <c r="W9" s="19">
        <f>(U9-U8)*V8+W8</f>
        <v>932.5</v>
      </c>
      <c r="X9" s="26">
        <v>11525</v>
      </c>
      <c r="Y9" s="27">
        <v>0.15</v>
      </c>
      <c r="Z9" s="19">
        <f>(X9-X8)*Y8+Z8</f>
        <v>927.5</v>
      </c>
      <c r="AA9" s="26">
        <v>11525</v>
      </c>
      <c r="AB9" s="27">
        <v>0.15</v>
      </c>
      <c r="AC9" s="19">
        <f>(AA9-AA8)*AB8+AC8</f>
        <v>922.5</v>
      </c>
      <c r="AD9" s="11"/>
    </row>
    <row r="10" spans="2:30" x14ac:dyDescent="0.25">
      <c r="B10" s="163"/>
      <c r="C10" s="26">
        <v>49975</v>
      </c>
      <c r="D10" s="27">
        <v>0.22</v>
      </c>
      <c r="E10" s="19">
        <f t="shared" ref="E10:E13" si="0">(C10-C9)*D9+E9</f>
        <v>5147</v>
      </c>
      <c r="F10" s="26">
        <v>46125</v>
      </c>
      <c r="G10" s="27">
        <v>0.22</v>
      </c>
      <c r="H10" s="19">
        <f t="shared" ref="H10:H13" si="1">(F10-F9)*G9+H9</f>
        <v>4807.5</v>
      </c>
      <c r="I10" s="26">
        <v>44475</v>
      </c>
      <c r="J10" s="27">
        <v>0.22</v>
      </c>
      <c r="K10" s="19">
        <f t="shared" ref="K10:K13" si="2">(I10-I9)*J9+K9</f>
        <v>4664</v>
      </c>
      <c r="L10" s="26">
        <v>43925</v>
      </c>
      <c r="M10" s="27">
        <v>0.22</v>
      </c>
      <c r="N10" s="19">
        <f t="shared" ref="N10:N13" si="3">(L10-L9)*M9+N9</f>
        <v>4617.5</v>
      </c>
      <c r="O10" s="26">
        <v>43275</v>
      </c>
      <c r="P10" s="27">
        <v>0.22</v>
      </c>
      <c r="Q10" s="19">
        <f t="shared" ref="Q10:Q13" si="4">(O10-O9)*P9+Q9</f>
        <v>4543</v>
      </c>
      <c r="R10" s="26">
        <v>42400</v>
      </c>
      <c r="S10" s="27">
        <v>0.22</v>
      </c>
      <c r="T10" s="19">
        <f t="shared" ref="T10:T13" si="5">(R10-R9)*S9+T9</f>
        <v>4453.5</v>
      </c>
      <c r="U10" s="26">
        <v>40250</v>
      </c>
      <c r="V10" s="27">
        <v>0.25</v>
      </c>
      <c r="W10" s="19">
        <f t="shared" ref="W10:W14" si="6">(U10-U9)*V9+W9</f>
        <v>5226.25</v>
      </c>
      <c r="X10" s="26">
        <v>39900</v>
      </c>
      <c r="Y10" s="27">
        <v>0.25</v>
      </c>
      <c r="Z10" s="19">
        <f t="shared" ref="Z10:Z14" si="7">(X10-X9)*Y9+Z9</f>
        <v>5183.75</v>
      </c>
      <c r="AA10" s="26">
        <v>39750</v>
      </c>
      <c r="AB10" s="27">
        <v>0.25</v>
      </c>
      <c r="AC10" s="19">
        <f t="shared" ref="AC10:AC14" si="8">(AA10-AA9)*AB9+AC9</f>
        <v>5156.25</v>
      </c>
      <c r="AD10" s="11"/>
    </row>
    <row r="11" spans="2:30" x14ac:dyDescent="0.25">
      <c r="B11" s="163"/>
      <c r="C11" s="26">
        <v>100625</v>
      </c>
      <c r="D11" s="27">
        <v>0.24</v>
      </c>
      <c r="E11" s="19">
        <f t="shared" si="0"/>
        <v>16290</v>
      </c>
      <c r="F11" s="26">
        <v>93425</v>
      </c>
      <c r="G11" s="27">
        <v>0.24</v>
      </c>
      <c r="H11" s="19">
        <f t="shared" si="1"/>
        <v>15213.5</v>
      </c>
      <c r="I11" s="26">
        <v>90325</v>
      </c>
      <c r="J11" s="27">
        <v>0.24</v>
      </c>
      <c r="K11" s="19">
        <f t="shared" si="2"/>
        <v>14751</v>
      </c>
      <c r="L11" s="26">
        <v>89325</v>
      </c>
      <c r="M11" s="27">
        <v>0.24</v>
      </c>
      <c r="N11" s="19">
        <f t="shared" si="3"/>
        <v>14605.5</v>
      </c>
      <c r="O11" s="26">
        <v>88000</v>
      </c>
      <c r="P11" s="27">
        <v>0.24</v>
      </c>
      <c r="Q11" s="19">
        <f t="shared" si="4"/>
        <v>14382.5</v>
      </c>
      <c r="R11" s="26">
        <v>86200</v>
      </c>
      <c r="S11" s="27">
        <v>0.24</v>
      </c>
      <c r="T11" s="19">
        <f t="shared" si="5"/>
        <v>14089.5</v>
      </c>
      <c r="U11" s="26">
        <v>94200</v>
      </c>
      <c r="V11" s="27">
        <v>0.28000000000000003</v>
      </c>
      <c r="W11" s="19">
        <f t="shared" si="6"/>
        <v>18713.75</v>
      </c>
      <c r="X11" s="26">
        <v>93400</v>
      </c>
      <c r="Y11" s="27">
        <v>0.28000000000000003</v>
      </c>
      <c r="Z11" s="19">
        <f t="shared" si="7"/>
        <v>18558.75</v>
      </c>
      <c r="AA11" s="26">
        <v>93050</v>
      </c>
      <c r="AB11" s="27">
        <v>0.28000000000000003</v>
      </c>
      <c r="AC11" s="19">
        <f t="shared" si="8"/>
        <v>18481.25</v>
      </c>
      <c r="AD11" s="11"/>
    </row>
    <row r="12" spans="2:30" x14ac:dyDescent="0.25">
      <c r="B12" s="163"/>
      <c r="C12" s="26">
        <v>187350</v>
      </c>
      <c r="D12" s="27">
        <v>0.32</v>
      </c>
      <c r="E12" s="19">
        <f t="shared" si="0"/>
        <v>37104</v>
      </c>
      <c r="F12" s="26">
        <v>174400</v>
      </c>
      <c r="G12" s="27">
        <v>0.32</v>
      </c>
      <c r="H12" s="19">
        <f t="shared" si="1"/>
        <v>34647.5</v>
      </c>
      <c r="I12" s="26">
        <v>168875</v>
      </c>
      <c r="J12" s="27">
        <v>0.32</v>
      </c>
      <c r="K12" s="19">
        <f t="shared" si="2"/>
        <v>33603</v>
      </c>
      <c r="L12" s="26">
        <v>167100</v>
      </c>
      <c r="M12" s="27">
        <v>0.32</v>
      </c>
      <c r="N12" s="19">
        <f t="shared" si="3"/>
        <v>33271.5</v>
      </c>
      <c r="O12" s="26">
        <v>164525</v>
      </c>
      <c r="P12" s="27">
        <v>0.32</v>
      </c>
      <c r="Q12" s="19">
        <f t="shared" si="4"/>
        <v>32748.5</v>
      </c>
      <c r="R12" s="26">
        <v>161200</v>
      </c>
      <c r="S12" s="27">
        <v>0.32</v>
      </c>
      <c r="T12" s="19">
        <f t="shared" si="5"/>
        <v>32089.5</v>
      </c>
      <c r="U12" s="26">
        <v>193950</v>
      </c>
      <c r="V12" s="27">
        <v>0.33</v>
      </c>
      <c r="W12" s="19">
        <f t="shared" si="6"/>
        <v>46643.75</v>
      </c>
      <c r="X12" s="26">
        <v>192400</v>
      </c>
      <c r="Y12" s="27">
        <v>0.33</v>
      </c>
      <c r="Z12" s="19">
        <f t="shared" si="7"/>
        <v>46278.75</v>
      </c>
      <c r="AA12" s="26">
        <v>191600</v>
      </c>
      <c r="AB12" s="27">
        <v>0.33</v>
      </c>
      <c r="AC12" s="19">
        <f t="shared" si="8"/>
        <v>46075.25</v>
      </c>
      <c r="AD12" s="11"/>
    </row>
    <row r="13" spans="2:30" x14ac:dyDescent="0.25">
      <c r="B13" s="163"/>
      <c r="C13" s="26">
        <v>236500</v>
      </c>
      <c r="D13" s="27">
        <v>0.35</v>
      </c>
      <c r="E13" s="19">
        <f t="shared" si="0"/>
        <v>52832</v>
      </c>
      <c r="F13" s="26">
        <v>220300</v>
      </c>
      <c r="G13" s="27">
        <v>0.35</v>
      </c>
      <c r="H13" s="19">
        <f t="shared" si="1"/>
        <v>49335.5</v>
      </c>
      <c r="I13" s="26">
        <v>213375</v>
      </c>
      <c r="J13" s="27">
        <v>0.35</v>
      </c>
      <c r="K13" s="19">
        <f t="shared" si="2"/>
        <v>47843</v>
      </c>
      <c r="L13" s="26">
        <v>211150</v>
      </c>
      <c r="M13" s="27">
        <v>0.35</v>
      </c>
      <c r="N13" s="19">
        <f t="shared" si="3"/>
        <v>47367.5</v>
      </c>
      <c r="O13" s="26">
        <v>207900</v>
      </c>
      <c r="P13" s="27">
        <v>0.35</v>
      </c>
      <c r="Q13" s="19">
        <f t="shared" si="4"/>
        <v>46628.5</v>
      </c>
      <c r="R13" s="26">
        <v>203700</v>
      </c>
      <c r="S13" s="27">
        <v>0.35</v>
      </c>
      <c r="T13" s="19">
        <f t="shared" si="5"/>
        <v>45689.5</v>
      </c>
      <c r="U13" s="26">
        <v>419000</v>
      </c>
      <c r="V13" s="27">
        <v>0.35</v>
      </c>
      <c r="W13" s="19">
        <f t="shared" si="6"/>
        <v>120910.25</v>
      </c>
      <c r="X13" s="26">
        <v>415600</v>
      </c>
      <c r="Y13" s="27">
        <v>0.35</v>
      </c>
      <c r="Z13" s="19">
        <f t="shared" si="7"/>
        <v>119934.75</v>
      </c>
      <c r="AA13" s="26">
        <v>413800</v>
      </c>
      <c r="AB13" s="27">
        <v>0.35</v>
      </c>
      <c r="AC13" s="19">
        <f t="shared" si="8"/>
        <v>119401.25</v>
      </c>
      <c r="AD13" s="11"/>
    </row>
    <row r="14" spans="2:30" ht="15.75" thickBot="1" x14ac:dyDescent="0.3">
      <c r="B14" s="164"/>
      <c r="C14" s="28">
        <v>583375</v>
      </c>
      <c r="D14" s="29">
        <v>0.37</v>
      </c>
      <c r="E14" s="22">
        <f>(C14-C13)*D13+E13</f>
        <v>174238.25</v>
      </c>
      <c r="F14" s="28">
        <v>544250</v>
      </c>
      <c r="G14" s="29">
        <v>0.37</v>
      </c>
      <c r="H14" s="22">
        <f>(F14-F13)*G13+H13</f>
        <v>162718</v>
      </c>
      <c r="I14" s="28">
        <v>527550</v>
      </c>
      <c r="J14" s="29">
        <v>0.37</v>
      </c>
      <c r="K14" s="22">
        <f>(I14-I13)*J13+K13</f>
        <v>157804.25</v>
      </c>
      <c r="L14" s="28">
        <v>522200</v>
      </c>
      <c r="M14" s="29">
        <v>0.37</v>
      </c>
      <c r="N14" s="22">
        <f>(L14-L13)*M13+N13</f>
        <v>156235</v>
      </c>
      <c r="O14" s="28">
        <v>514100</v>
      </c>
      <c r="P14" s="29">
        <v>0.37</v>
      </c>
      <c r="Q14" s="22">
        <f>(O14-O13)*P13+Q13</f>
        <v>153798.5</v>
      </c>
      <c r="R14" s="28">
        <v>503700</v>
      </c>
      <c r="S14" s="29">
        <v>0.37</v>
      </c>
      <c r="T14" s="22">
        <f>(R14-R13)*S13+T13</f>
        <v>150689.5</v>
      </c>
      <c r="U14" s="28">
        <v>420700</v>
      </c>
      <c r="V14" s="29">
        <v>0.39600000000000002</v>
      </c>
      <c r="W14" s="22">
        <f t="shared" si="6"/>
        <v>121505.25</v>
      </c>
      <c r="X14" s="28">
        <v>417300</v>
      </c>
      <c r="Y14" s="29">
        <v>0.39600000000000002</v>
      </c>
      <c r="Z14" s="22">
        <f t="shared" si="7"/>
        <v>120529.75</v>
      </c>
      <c r="AA14" s="28">
        <v>415500</v>
      </c>
      <c r="AB14" s="29">
        <v>0.39600000000000002</v>
      </c>
      <c r="AC14" s="22">
        <f t="shared" si="8"/>
        <v>119996.25</v>
      </c>
      <c r="AD14" s="11"/>
    </row>
    <row r="15" spans="2:30" ht="15.75" thickBot="1" x14ac:dyDescent="0.3">
      <c r="B15" s="163" t="s">
        <v>27</v>
      </c>
      <c r="C15" s="34" t="s">
        <v>18</v>
      </c>
      <c r="D15" s="35" t="s">
        <v>19</v>
      </c>
      <c r="E15" s="36" t="s">
        <v>20</v>
      </c>
      <c r="F15" s="34" t="s">
        <v>18</v>
      </c>
      <c r="G15" s="35" t="s">
        <v>19</v>
      </c>
      <c r="H15" s="36" t="s">
        <v>20</v>
      </c>
      <c r="I15" s="34" t="s">
        <v>18</v>
      </c>
      <c r="J15" s="35" t="s">
        <v>19</v>
      </c>
      <c r="K15" s="36" t="s">
        <v>20</v>
      </c>
      <c r="L15" s="34" t="s">
        <v>18</v>
      </c>
      <c r="M15" s="35" t="s">
        <v>19</v>
      </c>
      <c r="N15" s="36" t="s">
        <v>20</v>
      </c>
      <c r="O15" s="34" t="s">
        <v>18</v>
      </c>
      <c r="P15" s="35" t="s">
        <v>19</v>
      </c>
      <c r="Q15" s="36" t="s">
        <v>20</v>
      </c>
      <c r="R15" s="34" t="s">
        <v>18</v>
      </c>
      <c r="S15" s="35" t="s">
        <v>19</v>
      </c>
      <c r="T15" s="36" t="s">
        <v>20</v>
      </c>
      <c r="U15" s="34" t="s">
        <v>18</v>
      </c>
      <c r="V15" s="35" t="s">
        <v>19</v>
      </c>
      <c r="W15" s="36" t="s">
        <v>20</v>
      </c>
      <c r="X15" s="34" t="s">
        <v>18</v>
      </c>
      <c r="Y15" s="35" t="s">
        <v>19</v>
      </c>
      <c r="Z15" s="36" t="s">
        <v>20</v>
      </c>
      <c r="AA15" s="34" t="s">
        <v>18</v>
      </c>
      <c r="AB15" s="35" t="s">
        <v>19</v>
      </c>
      <c r="AC15" s="36" t="s">
        <v>20</v>
      </c>
    </row>
    <row r="16" spans="2:30" x14ac:dyDescent="0.25">
      <c r="B16" s="163"/>
      <c r="C16" s="24">
        <v>14800</v>
      </c>
      <c r="D16" s="25">
        <v>0.1</v>
      </c>
      <c r="E16" s="16">
        <v>0</v>
      </c>
      <c r="F16" s="24">
        <v>13000</v>
      </c>
      <c r="G16" s="25">
        <v>0.1</v>
      </c>
      <c r="H16" s="16">
        <v>0</v>
      </c>
      <c r="I16" s="24">
        <v>12200</v>
      </c>
      <c r="J16" s="25">
        <v>0.1</v>
      </c>
      <c r="K16" s="16">
        <v>0</v>
      </c>
      <c r="L16" s="24">
        <v>11900</v>
      </c>
      <c r="M16" s="25">
        <v>0.1</v>
      </c>
      <c r="N16" s="16">
        <v>0</v>
      </c>
      <c r="O16" s="24">
        <v>11800</v>
      </c>
      <c r="P16" s="25">
        <v>0.1</v>
      </c>
      <c r="Q16" s="16">
        <v>0</v>
      </c>
      <c r="R16" s="24">
        <v>11550</v>
      </c>
      <c r="S16" s="25">
        <v>0.1</v>
      </c>
      <c r="T16" s="16">
        <v>0</v>
      </c>
      <c r="U16" s="24">
        <v>8650</v>
      </c>
      <c r="V16" s="25">
        <v>0.1</v>
      </c>
      <c r="W16" s="16">
        <v>0</v>
      </c>
      <c r="X16" s="24">
        <v>8550</v>
      </c>
      <c r="Y16" s="25">
        <v>0.1</v>
      </c>
      <c r="Z16" s="16">
        <v>0</v>
      </c>
      <c r="AA16" s="24">
        <v>8600</v>
      </c>
      <c r="AB16" s="25">
        <v>0.1</v>
      </c>
      <c r="AC16" s="16">
        <v>0</v>
      </c>
    </row>
    <row r="17" spans="2:29" x14ac:dyDescent="0.25">
      <c r="B17" s="163"/>
      <c r="C17" s="26">
        <v>36800</v>
      </c>
      <c r="D17" s="27">
        <v>0.12</v>
      </c>
      <c r="E17" s="19">
        <f>(C17-C16)*D16+E16</f>
        <v>2200</v>
      </c>
      <c r="F17" s="26">
        <v>33550</v>
      </c>
      <c r="G17" s="27">
        <v>0.12</v>
      </c>
      <c r="H17" s="19">
        <f>(F17-F16)*G16+H16</f>
        <v>2055</v>
      </c>
      <c r="I17" s="26">
        <v>32100</v>
      </c>
      <c r="J17" s="27">
        <v>0.12</v>
      </c>
      <c r="K17" s="19">
        <f>(I17-I16)*J16+K16</f>
        <v>1990</v>
      </c>
      <c r="L17" s="26">
        <v>31650</v>
      </c>
      <c r="M17" s="27">
        <v>0.12</v>
      </c>
      <c r="N17" s="19">
        <f>(L17-L16)*M16+N16</f>
        <v>1975</v>
      </c>
      <c r="O17" s="26">
        <v>31200</v>
      </c>
      <c r="P17" s="27">
        <v>0.12</v>
      </c>
      <c r="Q17" s="19">
        <f>(O17-O16)*P16+Q16</f>
        <v>1940</v>
      </c>
      <c r="R17" s="26">
        <v>30600</v>
      </c>
      <c r="S17" s="27">
        <v>0.12</v>
      </c>
      <c r="T17" s="19">
        <f>(R17-R16)*S16+T16</f>
        <v>1905</v>
      </c>
      <c r="U17" s="26">
        <v>27300</v>
      </c>
      <c r="V17" s="27">
        <v>0.15</v>
      </c>
      <c r="W17" s="19">
        <f>(U17-U16)*V16+W16</f>
        <v>1865</v>
      </c>
      <c r="X17" s="26">
        <v>27100</v>
      </c>
      <c r="Y17" s="27">
        <v>0.15</v>
      </c>
      <c r="Z17" s="19">
        <f>(X17-X16)*Y16+Z16</f>
        <v>1855</v>
      </c>
      <c r="AA17" s="26">
        <v>27050</v>
      </c>
      <c r="AB17" s="27">
        <v>0.15</v>
      </c>
      <c r="AC17" s="19">
        <f>(AA17-AA16)*AB16+AC16</f>
        <v>1845</v>
      </c>
    </row>
    <row r="18" spans="2:29" x14ac:dyDescent="0.25">
      <c r="B18" s="163"/>
      <c r="C18" s="26">
        <v>104250</v>
      </c>
      <c r="D18" s="27">
        <v>0.22</v>
      </c>
      <c r="E18" s="19">
        <f t="shared" ref="E18:E21" si="9">(C18-C17)*D17+E17</f>
        <v>10294</v>
      </c>
      <c r="F18" s="26">
        <v>96550</v>
      </c>
      <c r="G18" s="27">
        <v>0.22</v>
      </c>
      <c r="H18" s="19">
        <f t="shared" ref="H18:H21" si="10">(F18-F17)*G17+H17</f>
        <v>9615</v>
      </c>
      <c r="I18" s="26">
        <v>93250</v>
      </c>
      <c r="J18" s="27">
        <v>0.22</v>
      </c>
      <c r="K18" s="19">
        <f t="shared" ref="K18:K21" si="11">(I18-I17)*J17+K17</f>
        <v>9328</v>
      </c>
      <c r="L18" s="26">
        <v>92150</v>
      </c>
      <c r="M18" s="27">
        <v>0.22</v>
      </c>
      <c r="N18" s="19">
        <f t="shared" ref="N18:N21" si="12">(L18-L17)*M17+N17</f>
        <v>9235</v>
      </c>
      <c r="O18" s="26">
        <v>90750</v>
      </c>
      <c r="P18" s="27">
        <v>0.22</v>
      </c>
      <c r="Q18" s="19">
        <f t="shared" ref="Q18:Q21" si="13">(O18-O17)*P17+Q17</f>
        <v>9086</v>
      </c>
      <c r="R18" s="26">
        <v>88950</v>
      </c>
      <c r="S18" s="27">
        <v>0.22</v>
      </c>
      <c r="T18" s="19">
        <f t="shared" ref="T18:T21" si="14">(R18-R17)*S17+T17</f>
        <v>8907</v>
      </c>
      <c r="U18" s="26">
        <v>84550</v>
      </c>
      <c r="V18" s="27">
        <v>0.25</v>
      </c>
      <c r="W18" s="19">
        <f t="shared" ref="W18:W22" si="15">(U18-U17)*V17+W17</f>
        <v>10452.5</v>
      </c>
      <c r="X18" s="26">
        <v>83850</v>
      </c>
      <c r="Y18" s="27">
        <v>0.25</v>
      </c>
      <c r="Z18" s="19">
        <f t="shared" ref="Z18:Z22" si="16">(X18-X17)*Y17+Z17</f>
        <v>10367.5</v>
      </c>
      <c r="AA18" s="26">
        <v>83500</v>
      </c>
      <c r="AB18" s="27">
        <v>0.25</v>
      </c>
      <c r="AC18" s="19">
        <f t="shared" ref="AC18:AC22" si="17">(AA18-AA17)*AB17+AC17</f>
        <v>10312.5</v>
      </c>
    </row>
    <row r="19" spans="2:29" x14ac:dyDescent="0.25">
      <c r="B19" s="163"/>
      <c r="C19" s="26">
        <v>205550</v>
      </c>
      <c r="D19" s="27">
        <v>0.24</v>
      </c>
      <c r="E19" s="19">
        <f t="shared" si="9"/>
        <v>32580</v>
      </c>
      <c r="F19" s="26">
        <v>191150</v>
      </c>
      <c r="G19" s="27">
        <v>0.24</v>
      </c>
      <c r="H19" s="19">
        <f t="shared" si="10"/>
        <v>30427</v>
      </c>
      <c r="I19" s="26">
        <v>184950</v>
      </c>
      <c r="J19" s="27">
        <v>0.24</v>
      </c>
      <c r="K19" s="19">
        <f t="shared" si="11"/>
        <v>29502</v>
      </c>
      <c r="L19" s="26">
        <v>182950</v>
      </c>
      <c r="M19" s="27">
        <v>0.24</v>
      </c>
      <c r="N19" s="19">
        <f t="shared" si="12"/>
        <v>29211</v>
      </c>
      <c r="O19" s="26">
        <v>180200</v>
      </c>
      <c r="P19" s="27">
        <v>0.24</v>
      </c>
      <c r="Q19" s="19">
        <f t="shared" si="13"/>
        <v>28765</v>
      </c>
      <c r="R19" s="26">
        <v>176550</v>
      </c>
      <c r="S19" s="27">
        <v>0.24</v>
      </c>
      <c r="T19" s="19">
        <f t="shared" si="14"/>
        <v>28179</v>
      </c>
      <c r="U19" s="26">
        <v>161750</v>
      </c>
      <c r="V19" s="27">
        <v>0.28000000000000003</v>
      </c>
      <c r="W19" s="19">
        <f t="shared" si="15"/>
        <v>29752.5</v>
      </c>
      <c r="X19" s="26">
        <v>160450</v>
      </c>
      <c r="Y19" s="27">
        <v>0.28000000000000003</v>
      </c>
      <c r="Z19" s="19">
        <f t="shared" si="16"/>
        <v>29517.5</v>
      </c>
      <c r="AA19" s="26">
        <v>159800</v>
      </c>
      <c r="AB19" s="27">
        <v>0.28000000000000003</v>
      </c>
      <c r="AC19" s="19">
        <f t="shared" si="17"/>
        <v>29387.5</v>
      </c>
    </row>
    <row r="20" spans="2:29" x14ac:dyDescent="0.25">
      <c r="B20" s="163"/>
      <c r="C20" s="26">
        <v>379000</v>
      </c>
      <c r="D20" s="27">
        <v>0.32</v>
      </c>
      <c r="E20" s="19">
        <f t="shared" si="9"/>
        <v>74208</v>
      </c>
      <c r="F20" s="26">
        <v>353100</v>
      </c>
      <c r="G20" s="27">
        <v>0.32</v>
      </c>
      <c r="H20" s="19">
        <f t="shared" si="10"/>
        <v>69295</v>
      </c>
      <c r="I20" s="26">
        <v>342050</v>
      </c>
      <c r="J20" s="27">
        <v>0.32</v>
      </c>
      <c r="K20" s="19">
        <f t="shared" si="11"/>
        <v>67206</v>
      </c>
      <c r="L20" s="26">
        <v>338500</v>
      </c>
      <c r="M20" s="27">
        <v>0.32</v>
      </c>
      <c r="N20" s="19">
        <f t="shared" si="12"/>
        <v>66543</v>
      </c>
      <c r="O20" s="26">
        <v>333250</v>
      </c>
      <c r="P20" s="27">
        <v>0.32</v>
      </c>
      <c r="Q20" s="19">
        <f t="shared" si="13"/>
        <v>65497</v>
      </c>
      <c r="R20" s="26">
        <v>326550</v>
      </c>
      <c r="S20" s="27">
        <v>0.32</v>
      </c>
      <c r="T20" s="19">
        <f t="shared" si="14"/>
        <v>64179</v>
      </c>
      <c r="U20" s="26">
        <v>242000</v>
      </c>
      <c r="V20" s="27">
        <v>0.33</v>
      </c>
      <c r="W20" s="19">
        <f t="shared" si="15"/>
        <v>52222.5</v>
      </c>
      <c r="X20" s="26">
        <v>240000</v>
      </c>
      <c r="Y20" s="27">
        <v>0.33</v>
      </c>
      <c r="Z20" s="19">
        <f t="shared" si="16"/>
        <v>51791.5</v>
      </c>
      <c r="AA20" s="26">
        <v>239050</v>
      </c>
      <c r="AB20" s="27">
        <v>0.33</v>
      </c>
      <c r="AC20" s="19">
        <f t="shared" si="17"/>
        <v>51577.5</v>
      </c>
    </row>
    <row r="21" spans="2:29" x14ac:dyDescent="0.25">
      <c r="B21" s="163"/>
      <c r="C21" s="26">
        <v>477300</v>
      </c>
      <c r="D21" s="27">
        <v>0.35</v>
      </c>
      <c r="E21" s="19">
        <f t="shared" si="9"/>
        <v>105664</v>
      </c>
      <c r="F21" s="26">
        <v>444900</v>
      </c>
      <c r="G21" s="27">
        <v>0.35</v>
      </c>
      <c r="H21" s="19">
        <f t="shared" si="10"/>
        <v>98671</v>
      </c>
      <c r="I21" s="26">
        <v>431050</v>
      </c>
      <c r="J21" s="27">
        <v>0.35</v>
      </c>
      <c r="K21" s="19">
        <f t="shared" si="11"/>
        <v>95686</v>
      </c>
      <c r="L21" s="26">
        <v>426600</v>
      </c>
      <c r="M21" s="27">
        <v>0.35</v>
      </c>
      <c r="N21" s="19">
        <f t="shared" si="12"/>
        <v>94735</v>
      </c>
      <c r="O21" s="26">
        <v>420000</v>
      </c>
      <c r="P21" s="27">
        <v>0.35</v>
      </c>
      <c r="Q21" s="19">
        <f t="shared" si="13"/>
        <v>93257</v>
      </c>
      <c r="R21" s="26">
        <v>411550</v>
      </c>
      <c r="S21" s="27">
        <v>0.35</v>
      </c>
      <c r="T21" s="19">
        <f t="shared" si="14"/>
        <v>91379</v>
      </c>
      <c r="U21" s="26">
        <v>425350</v>
      </c>
      <c r="V21" s="27">
        <v>0.35</v>
      </c>
      <c r="W21" s="19">
        <f t="shared" si="15"/>
        <v>112728</v>
      </c>
      <c r="X21" s="26">
        <v>421900</v>
      </c>
      <c r="Y21" s="27">
        <v>0.35</v>
      </c>
      <c r="Z21" s="19">
        <f t="shared" si="16"/>
        <v>111818.5</v>
      </c>
      <c r="AA21" s="26">
        <v>420100</v>
      </c>
      <c r="AB21" s="27">
        <v>0.35</v>
      </c>
      <c r="AC21" s="19">
        <f t="shared" si="17"/>
        <v>111324</v>
      </c>
    </row>
    <row r="22" spans="2:29" ht="15.75" thickBot="1" x14ac:dyDescent="0.3">
      <c r="B22" s="164"/>
      <c r="C22" s="28">
        <v>708550</v>
      </c>
      <c r="D22" s="29">
        <v>0.37</v>
      </c>
      <c r="E22" s="22">
        <f>(C22-C21)*D21+E21</f>
        <v>186601.5</v>
      </c>
      <c r="F22" s="28">
        <v>660850</v>
      </c>
      <c r="G22" s="29">
        <v>0.37</v>
      </c>
      <c r="H22" s="22">
        <f>(F22-F21)*G21+H21</f>
        <v>174253.5</v>
      </c>
      <c r="I22" s="28">
        <v>640500</v>
      </c>
      <c r="J22" s="29">
        <v>0.37</v>
      </c>
      <c r="K22" s="22">
        <f>(I22-I21)*J21+K21</f>
        <v>168993.5</v>
      </c>
      <c r="L22" s="28">
        <v>633950</v>
      </c>
      <c r="M22" s="29">
        <v>0.37</v>
      </c>
      <c r="N22" s="22">
        <f>(L22-L21)*M21+N21</f>
        <v>167307.5</v>
      </c>
      <c r="O22" s="28">
        <v>624150</v>
      </c>
      <c r="P22" s="29">
        <v>0.37</v>
      </c>
      <c r="Q22" s="22">
        <f>(O22-O21)*P21+Q21</f>
        <v>164709.5</v>
      </c>
      <c r="R22" s="28">
        <v>611550</v>
      </c>
      <c r="S22" s="29">
        <v>0.37</v>
      </c>
      <c r="T22" s="22">
        <f>(R22-R21)*S21+T21</f>
        <v>161379</v>
      </c>
      <c r="U22" s="28">
        <v>479350</v>
      </c>
      <c r="V22" s="29">
        <v>0.39600000000000002</v>
      </c>
      <c r="W22" s="22">
        <f t="shared" si="15"/>
        <v>131628</v>
      </c>
      <c r="X22" s="28">
        <v>475500</v>
      </c>
      <c r="Y22" s="29">
        <v>0.39600000000000002</v>
      </c>
      <c r="Z22" s="22">
        <f t="shared" si="16"/>
        <v>130578.5</v>
      </c>
      <c r="AA22" s="28">
        <v>473450</v>
      </c>
      <c r="AB22" s="29">
        <v>0.39600000000000002</v>
      </c>
      <c r="AC22" s="22">
        <f t="shared" si="17"/>
        <v>129996.5</v>
      </c>
    </row>
    <row r="23" spans="2:29" ht="15.75" thickBot="1" x14ac:dyDescent="0.3">
      <c r="B23" s="163" t="s">
        <v>89</v>
      </c>
      <c r="C23" s="34" t="s">
        <v>18</v>
      </c>
      <c r="D23" s="35" t="s">
        <v>19</v>
      </c>
      <c r="E23" s="36" t="s">
        <v>20</v>
      </c>
    </row>
    <row r="24" spans="2:29" x14ac:dyDescent="0.25">
      <c r="B24" s="163"/>
      <c r="C24" s="24">
        <v>12200</v>
      </c>
      <c r="D24" s="25">
        <v>0.1</v>
      </c>
      <c r="E24" s="16">
        <v>0</v>
      </c>
    </row>
    <row r="25" spans="2:29" x14ac:dyDescent="0.25">
      <c r="B25" s="163"/>
      <c r="C25" s="26">
        <v>27900</v>
      </c>
      <c r="D25" s="27">
        <v>0.12</v>
      </c>
      <c r="E25" s="19">
        <f>(C25-C24)*D24+E24</f>
        <v>1570</v>
      </c>
    </row>
    <row r="26" spans="2:29" x14ac:dyDescent="0.25">
      <c r="B26" s="163"/>
      <c r="C26" s="26">
        <v>72050</v>
      </c>
      <c r="D26" s="27">
        <v>0.22</v>
      </c>
      <c r="E26" s="19">
        <f t="shared" ref="E26:E29" si="18">(C26-C25)*D25+E25</f>
        <v>6868</v>
      </c>
    </row>
    <row r="27" spans="2:29" x14ac:dyDescent="0.25">
      <c r="B27" s="163"/>
      <c r="C27" s="26">
        <v>107550</v>
      </c>
      <c r="D27" s="27">
        <v>0.24</v>
      </c>
      <c r="E27" s="19">
        <f t="shared" si="18"/>
        <v>14678</v>
      </c>
    </row>
    <row r="28" spans="2:29" x14ac:dyDescent="0.25">
      <c r="B28" s="163"/>
      <c r="C28" s="26">
        <v>194300</v>
      </c>
      <c r="D28" s="27">
        <v>0.32</v>
      </c>
      <c r="E28" s="19">
        <f t="shared" si="18"/>
        <v>35498</v>
      </c>
    </row>
    <row r="29" spans="2:29" x14ac:dyDescent="0.25">
      <c r="B29" s="163"/>
      <c r="C29" s="26">
        <v>243450</v>
      </c>
      <c r="D29" s="27">
        <v>0.35</v>
      </c>
      <c r="E29" s="19">
        <f t="shared" si="18"/>
        <v>51226</v>
      </c>
    </row>
    <row r="30" spans="2:29" ht="15.75" thickBot="1" x14ac:dyDescent="0.3">
      <c r="B30" s="164"/>
      <c r="C30" s="28">
        <v>590300</v>
      </c>
      <c r="D30" s="29">
        <v>0.37</v>
      </c>
      <c r="E30" s="22">
        <f>(C30-C29)*D29+E29</f>
        <v>172623.5</v>
      </c>
    </row>
    <row r="31" spans="2:29" x14ac:dyDescent="0.25">
      <c r="B31" s="165" t="s">
        <v>91</v>
      </c>
    </row>
    <row r="32" spans="2:29" ht="15.75" thickBot="1" x14ac:dyDescent="0.3">
      <c r="B32" s="166"/>
    </row>
    <row r="33" spans="2:29" ht="15.75" thickBot="1" x14ac:dyDescent="0.3">
      <c r="B33" s="34" t="s">
        <v>14</v>
      </c>
      <c r="C33" s="83">
        <v>12900</v>
      </c>
    </row>
    <row r="34" spans="2:29" ht="15.75" thickBot="1" x14ac:dyDescent="0.3">
      <c r="B34" s="36" t="s">
        <v>92</v>
      </c>
      <c r="C34" s="83">
        <v>8600</v>
      </c>
    </row>
    <row r="35" spans="2:29" ht="15.75" thickBot="1" x14ac:dyDescent="0.3"/>
    <row r="36" spans="2:29" ht="15.75" thickBot="1" x14ac:dyDescent="0.3">
      <c r="B36" s="156" t="s">
        <v>30</v>
      </c>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8"/>
    </row>
    <row r="37" spans="2:29" ht="15.75" thickBot="1" x14ac:dyDescent="0.3">
      <c r="B37" s="30" t="s">
        <v>29</v>
      </c>
      <c r="C37" s="38"/>
      <c r="D37" s="41">
        <v>2023</v>
      </c>
      <c r="E37" s="40"/>
      <c r="F37" s="38"/>
      <c r="G37" s="41">
        <v>2022</v>
      </c>
      <c r="H37" s="40"/>
      <c r="I37" s="38"/>
      <c r="J37" s="41">
        <v>2021</v>
      </c>
      <c r="K37" s="40"/>
      <c r="L37" s="38"/>
      <c r="M37" s="41">
        <v>2020</v>
      </c>
      <c r="N37" s="40"/>
      <c r="O37" s="38"/>
      <c r="P37" s="41">
        <v>2019</v>
      </c>
      <c r="Q37" s="40"/>
      <c r="R37" s="38"/>
      <c r="S37" s="41">
        <v>2018</v>
      </c>
      <c r="T37" s="40"/>
      <c r="U37" s="38"/>
      <c r="V37" s="41">
        <v>2017</v>
      </c>
      <c r="W37" s="40"/>
      <c r="X37" s="38"/>
      <c r="Y37" s="39">
        <v>2016</v>
      </c>
      <c r="Z37" s="40"/>
      <c r="AA37" s="38"/>
      <c r="AB37" s="41">
        <v>2015</v>
      </c>
      <c r="AC37" s="40"/>
    </row>
    <row r="38" spans="2:29" ht="15.75" thickBot="1" x14ac:dyDescent="0.3">
      <c r="B38" s="30" t="s">
        <v>12</v>
      </c>
      <c r="C38" s="150">
        <v>1000</v>
      </c>
      <c r="D38" s="151"/>
      <c r="E38" s="152"/>
      <c r="F38" s="150">
        <v>1000</v>
      </c>
      <c r="G38" s="151"/>
      <c r="H38" s="152"/>
      <c r="I38" s="150">
        <v>1000</v>
      </c>
      <c r="J38" s="151"/>
      <c r="K38" s="152"/>
      <c r="L38" s="150">
        <v>1000</v>
      </c>
      <c r="M38" s="151"/>
      <c r="N38" s="152"/>
      <c r="O38" s="150">
        <v>1000</v>
      </c>
      <c r="P38" s="151"/>
      <c r="Q38" s="152"/>
      <c r="R38" s="150">
        <v>1000</v>
      </c>
      <c r="S38" s="151"/>
      <c r="T38" s="152"/>
      <c r="U38" s="150">
        <v>1000</v>
      </c>
      <c r="V38" s="151"/>
      <c r="W38" s="152"/>
      <c r="X38" s="150">
        <v>1000</v>
      </c>
      <c r="Y38" s="151"/>
      <c r="Z38" s="152"/>
      <c r="AA38" s="150">
        <v>1000</v>
      </c>
      <c r="AB38" s="151"/>
      <c r="AC38" s="152"/>
    </row>
    <row r="39" spans="2:29" ht="15.75" thickBot="1" x14ac:dyDescent="0.3">
      <c r="B39" s="153" t="s">
        <v>31</v>
      </c>
      <c r="C39" s="31" t="s">
        <v>18</v>
      </c>
      <c r="D39" s="32" t="s">
        <v>19</v>
      </c>
      <c r="E39" s="33" t="s">
        <v>20</v>
      </c>
      <c r="F39" s="31" t="s">
        <v>18</v>
      </c>
      <c r="G39" s="32" t="s">
        <v>19</v>
      </c>
      <c r="H39" s="33" t="s">
        <v>20</v>
      </c>
      <c r="I39" s="31" t="s">
        <v>18</v>
      </c>
      <c r="J39" s="32" t="s">
        <v>19</v>
      </c>
      <c r="K39" s="33" t="s">
        <v>20</v>
      </c>
      <c r="L39" s="31" t="s">
        <v>18</v>
      </c>
      <c r="M39" s="32" t="s">
        <v>19</v>
      </c>
      <c r="N39" s="33" t="s">
        <v>20</v>
      </c>
      <c r="O39" s="31" t="s">
        <v>18</v>
      </c>
      <c r="P39" s="32" t="s">
        <v>19</v>
      </c>
      <c r="Q39" s="33" t="s">
        <v>20</v>
      </c>
      <c r="R39" s="31" t="s">
        <v>18</v>
      </c>
      <c r="S39" s="32" t="s">
        <v>19</v>
      </c>
      <c r="T39" s="33" t="s">
        <v>20</v>
      </c>
      <c r="U39" s="31" t="s">
        <v>18</v>
      </c>
      <c r="V39" s="32" t="s">
        <v>19</v>
      </c>
      <c r="W39" s="33" t="s">
        <v>20</v>
      </c>
      <c r="X39" s="31" t="s">
        <v>18</v>
      </c>
      <c r="Y39" s="32" t="s">
        <v>19</v>
      </c>
      <c r="Z39" s="33" t="s">
        <v>20</v>
      </c>
      <c r="AA39" s="31" t="s">
        <v>18</v>
      </c>
      <c r="AB39" s="32" t="s">
        <v>19</v>
      </c>
      <c r="AC39" s="33" t="s">
        <v>20</v>
      </c>
    </row>
    <row r="40" spans="2:29" x14ac:dyDescent="0.25">
      <c r="B40" s="154"/>
      <c r="C40" s="75">
        <v>0</v>
      </c>
      <c r="D40" s="73">
        <v>3.7499999999999999E-2</v>
      </c>
      <c r="E40" s="74">
        <v>0</v>
      </c>
      <c r="F40" s="75">
        <v>0</v>
      </c>
      <c r="G40" s="73">
        <v>3.7499999999999999E-2</v>
      </c>
      <c r="H40" s="74">
        <v>0</v>
      </c>
      <c r="I40" s="75">
        <v>0</v>
      </c>
      <c r="J40" s="73">
        <v>3.7499999999999999E-2</v>
      </c>
      <c r="K40" s="74">
        <v>0</v>
      </c>
      <c r="L40" s="75">
        <v>0</v>
      </c>
      <c r="M40" s="73">
        <v>3.7499999999999999E-2</v>
      </c>
      <c r="N40" s="74">
        <v>0</v>
      </c>
      <c r="O40" s="75">
        <v>0</v>
      </c>
      <c r="P40" s="73">
        <v>3.7499999999999999E-2</v>
      </c>
      <c r="Q40" s="74">
        <v>0</v>
      </c>
      <c r="R40" s="75">
        <v>0</v>
      </c>
      <c r="S40" s="73">
        <v>3.7499999999999999E-2</v>
      </c>
      <c r="T40" s="74">
        <v>0</v>
      </c>
      <c r="U40" s="75">
        <v>0</v>
      </c>
      <c r="V40" s="73">
        <v>3.7499999999999999E-2</v>
      </c>
      <c r="W40" s="74">
        <v>0</v>
      </c>
      <c r="X40" s="75">
        <v>0</v>
      </c>
      <c r="Y40" s="73">
        <v>3.7499999999999999E-2</v>
      </c>
      <c r="Z40" s="74">
        <v>0</v>
      </c>
      <c r="AA40" s="75">
        <v>0</v>
      </c>
      <c r="AB40" s="73">
        <v>3.7499999999999999E-2</v>
      </c>
      <c r="AC40" s="74">
        <v>0</v>
      </c>
    </row>
    <row r="41" spans="2:29" x14ac:dyDescent="0.25">
      <c r="B41" s="154"/>
      <c r="C41" s="26">
        <v>68200</v>
      </c>
      <c r="D41" s="27">
        <v>4.7500000000000001E-2</v>
      </c>
      <c r="E41" s="19">
        <f>(C41-C40)*D40+E40</f>
        <v>2557.5</v>
      </c>
      <c r="F41" s="26">
        <v>68200</v>
      </c>
      <c r="G41" s="27">
        <v>4.7500000000000001E-2</v>
      </c>
      <c r="H41" s="19">
        <f>(F41-F40)*G40+H40</f>
        <v>2557.5</v>
      </c>
      <c r="I41" s="26">
        <v>66200</v>
      </c>
      <c r="J41" s="27">
        <v>4.7500000000000001E-2</v>
      </c>
      <c r="K41" s="19">
        <f>(I41-I40)*J40+K40</f>
        <v>2482.5</v>
      </c>
      <c r="L41" s="26">
        <v>65250</v>
      </c>
      <c r="M41" s="27">
        <v>4.7500000000000001E-2</v>
      </c>
      <c r="N41" s="19">
        <f>(L41-L40)*M40+N40</f>
        <v>2446.875</v>
      </c>
      <c r="O41" s="26">
        <v>64050</v>
      </c>
      <c r="P41" s="27">
        <v>4.7500000000000001E-2</v>
      </c>
      <c r="Q41" s="19">
        <f>(O41-O40)*P40+Q40</f>
        <v>2401.875</v>
      </c>
      <c r="R41" s="26">
        <v>62550</v>
      </c>
      <c r="S41" s="27">
        <v>4.7500000000000001E-2</v>
      </c>
      <c r="T41" s="19">
        <f>(R41-R40)*S40+T40</f>
        <v>2345.625</v>
      </c>
      <c r="U41" s="26">
        <v>61300</v>
      </c>
      <c r="V41" s="27">
        <v>4.7500000000000001E-2</v>
      </c>
      <c r="W41" s="19">
        <f>(U41-U40)*V40+W40</f>
        <v>2298.75</v>
      </c>
      <c r="X41" s="26">
        <v>60850</v>
      </c>
      <c r="Y41" s="27">
        <v>4.7500000000000001E-2</v>
      </c>
      <c r="Z41" s="19">
        <f>(X41-X40)*Y40+Z40</f>
        <v>2281.875</v>
      </c>
      <c r="AA41" s="26">
        <v>60550</v>
      </c>
      <c r="AB41" s="27">
        <v>4.7500000000000001E-2</v>
      </c>
      <c r="AC41" s="19">
        <f>(AA41-AA40)*AB40+AC40</f>
        <v>2270.625</v>
      </c>
    </row>
    <row r="42" spans="2:29" ht="15.75" thickBot="1" x14ac:dyDescent="0.3">
      <c r="B42" s="155"/>
      <c r="C42" s="28">
        <v>155050</v>
      </c>
      <c r="D42" s="29">
        <v>5.9900000000000002E-2</v>
      </c>
      <c r="E42" s="22">
        <f>(C42-C41)*D41+E41</f>
        <v>6682.875</v>
      </c>
      <c r="F42" s="28">
        <v>155050</v>
      </c>
      <c r="G42" s="29">
        <v>5.9900000000000002E-2</v>
      </c>
      <c r="H42" s="22">
        <f>(F42-F41)*G41+H41</f>
        <v>6682.875</v>
      </c>
      <c r="I42" s="28">
        <v>150550</v>
      </c>
      <c r="J42" s="29">
        <v>5.9900000000000002E-2</v>
      </c>
      <c r="K42" s="22">
        <f>(I42-I41)*J41+K41</f>
        <v>6489.125</v>
      </c>
      <c r="L42" s="28">
        <v>148350</v>
      </c>
      <c r="M42" s="29">
        <v>5.9900000000000002E-2</v>
      </c>
      <c r="N42" s="22">
        <f>(L42-L41)*M41+N41</f>
        <v>6394.125</v>
      </c>
      <c r="O42" s="28">
        <v>145600</v>
      </c>
      <c r="P42" s="29">
        <v>5.9900000000000002E-2</v>
      </c>
      <c r="Q42" s="22">
        <f>(O42-O41)*P41+Q41</f>
        <v>6275.5</v>
      </c>
      <c r="R42" s="28">
        <v>142150</v>
      </c>
      <c r="S42" s="29">
        <v>5.9900000000000002E-2</v>
      </c>
      <c r="T42" s="22">
        <f>(R42-R41)*S41+T41</f>
        <v>6126.625</v>
      </c>
      <c r="U42" s="28">
        <v>139400</v>
      </c>
      <c r="V42" s="29">
        <v>5.9900000000000002E-2</v>
      </c>
      <c r="W42" s="22">
        <f>(U42-U41)*V41+W41</f>
        <v>6008.5</v>
      </c>
      <c r="X42" s="28">
        <v>138300</v>
      </c>
      <c r="Y42" s="29">
        <v>5.9900000000000002E-2</v>
      </c>
      <c r="Z42" s="22">
        <f>(X42-X41)*Y41+Z41</f>
        <v>5960.75</v>
      </c>
      <c r="AA42" s="28">
        <v>137650</v>
      </c>
      <c r="AB42" s="29">
        <v>5.9900000000000002E-2</v>
      </c>
      <c r="AC42" s="22">
        <f>(AA42-AA41)*AB41+AC41</f>
        <v>5932.875</v>
      </c>
    </row>
  </sheetData>
  <sheetProtection selectLockedCells="1"/>
  <mergeCells count="34">
    <mergeCell ref="B4:Z4"/>
    <mergeCell ref="U5:W5"/>
    <mergeCell ref="X5:Z5"/>
    <mergeCell ref="AA5:AC5"/>
    <mergeCell ref="U6:W6"/>
    <mergeCell ref="X6:Z6"/>
    <mergeCell ref="AA6:AC6"/>
    <mergeCell ref="O5:Q5"/>
    <mergeCell ref="O6:Q6"/>
    <mergeCell ref="L5:N5"/>
    <mergeCell ref="L6:N6"/>
    <mergeCell ref="I5:K5"/>
    <mergeCell ref="I6:K6"/>
    <mergeCell ref="F5:H5"/>
    <mergeCell ref="F6:H6"/>
    <mergeCell ref="C5:E5"/>
    <mergeCell ref="B36:Z36"/>
    <mergeCell ref="R5:T5"/>
    <mergeCell ref="R6:T6"/>
    <mergeCell ref="B7:B14"/>
    <mergeCell ref="B15:B22"/>
    <mergeCell ref="C6:E6"/>
    <mergeCell ref="B23:B30"/>
    <mergeCell ref="B31:B32"/>
    <mergeCell ref="R38:T38"/>
    <mergeCell ref="U38:W38"/>
    <mergeCell ref="X38:Z38"/>
    <mergeCell ref="AA38:AC38"/>
    <mergeCell ref="B39:B42"/>
    <mergeCell ref="O38:Q38"/>
    <mergeCell ref="L38:N38"/>
    <mergeCell ref="I38:K38"/>
    <mergeCell ref="F38:H38"/>
    <mergeCell ref="C38:E38"/>
  </mergeCells>
  <pageMargins left="0.7" right="0.7" top="0.75" bottom="0.75" header="0.3" footer="0.3"/>
  <pageSetup orientation="portrait" r:id="rId1"/>
  <customProperties>
    <customPr name="Sheet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3">
    <tabColor theme="3" tint="0.59999389629810485"/>
  </sheetPr>
  <dimension ref="A2:R59"/>
  <sheetViews>
    <sheetView zoomScaleNormal="100" workbookViewId="0">
      <selection activeCell="N10" sqref="N10"/>
    </sheetView>
  </sheetViews>
  <sheetFormatPr defaultColWidth="11.42578125" defaultRowHeight="15" x14ac:dyDescent="0.25"/>
  <cols>
    <col min="1" max="1" width="3.7109375" style="59" customWidth="1"/>
    <col min="2" max="2" width="21.85546875" bestFit="1" customWidth="1"/>
    <col min="6" max="6" width="5.140625" bestFit="1" customWidth="1"/>
    <col min="9" max="9" width="16.28515625" bestFit="1" customWidth="1"/>
    <col min="10" max="10" width="1.85546875" customWidth="1"/>
    <col min="11" max="11" width="21.7109375" bestFit="1" customWidth="1"/>
    <col min="14" max="14" width="44" customWidth="1"/>
    <col min="16" max="16" width="26.5703125" customWidth="1"/>
    <col min="17" max="17" width="11.42578125" customWidth="1"/>
  </cols>
  <sheetData>
    <row r="2" spans="1:16" ht="21" x14ac:dyDescent="0.35">
      <c r="B2" s="57" t="s">
        <v>44</v>
      </c>
      <c r="J2" s="57"/>
      <c r="K2" s="57" t="s">
        <v>45</v>
      </c>
    </row>
    <row r="3" spans="1:16" ht="15.75" thickBot="1" x14ac:dyDescent="0.3"/>
    <row r="4" spans="1:16" ht="15.75" thickBot="1" x14ac:dyDescent="0.3">
      <c r="B4" s="179" t="s">
        <v>48</v>
      </c>
      <c r="C4" s="180"/>
      <c r="D4" s="72">
        <v>2023</v>
      </c>
    </row>
    <row r="6" spans="1:16" ht="15.75" x14ac:dyDescent="0.25">
      <c r="B6" s="58" t="s">
        <v>15</v>
      </c>
      <c r="J6" s="58"/>
      <c r="K6" s="58" t="s">
        <v>50</v>
      </c>
      <c r="O6" s="58" t="s">
        <v>94</v>
      </c>
    </row>
    <row r="7" spans="1:16" ht="15.75" thickBot="1" x14ac:dyDescent="0.3">
      <c r="L7" s="9"/>
    </row>
    <row r="8" spans="1:16" ht="15.75" thickBot="1" x14ac:dyDescent="0.3">
      <c r="A8" s="59">
        <v>1</v>
      </c>
      <c r="B8" s="44" t="s">
        <v>12</v>
      </c>
      <c r="C8" s="60">
        <f>INDEX(tbl_FedTaxData,A8,MATCH($D$4,tbl_Years,0))</f>
        <v>4300</v>
      </c>
      <c r="K8" s="44" t="s">
        <v>47</v>
      </c>
      <c r="L8" s="60">
        <f>ROUND(MAX(0,val_MonthlyGross*12+val_FedTotalIncAddPens+val_FedOtherIncome-val_FedDeductions-IF(val_MaritalStatus="Married filing jointly or Qualifying widow(er)",Val_FillingDeductionMarried,Val_FillingDeductionOther)),2)</f>
        <v>0</v>
      </c>
      <c r="O8" s="86">
        <f>ROUND(MAX(0,OLD_val_MonthlyGross*12-C8*OLD_val_FedNumExempt),2)</f>
        <v>0</v>
      </c>
    </row>
    <row r="9" spans="1:16" ht="15.75" thickBot="1" x14ac:dyDescent="0.3">
      <c r="K9" s="69"/>
    </row>
    <row r="10" spans="1:16" ht="15.75" thickBot="1" x14ac:dyDescent="0.3">
      <c r="B10" s="162" t="s">
        <v>13</v>
      </c>
      <c r="C10" s="31" t="s">
        <v>18</v>
      </c>
      <c r="D10" s="45" t="s">
        <v>38</v>
      </c>
      <c r="E10" s="45" t="s">
        <v>39</v>
      </c>
      <c r="F10" s="45"/>
      <c r="G10" s="61" t="s">
        <v>41</v>
      </c>
      <c r="H10" s="65" t="s">
        <v>46</v>
      </c>
      <c r="I10" s="65" t="s">
        <v>95</v>
      </c>
      <c r="K10" s="44" t="s">
        <v>10</v>
      </c>
      <c r="L10" s="60">
        <f>ROUND((($L$8-INDEX(C11:C18,M10))*INDEX(G11:G18,M10)+INDEX(E11:E18,M10)-val_FedDependentCredits)/12,2)</f>
        <v>0</v>
      </c>
      <c r="M10" s="59">
        <f>MATCH("X",H11:H18,0)</f>
        <v>1</v>
      </c>
      <c r="N10" s="90" t="s">
        <v>126</v>
      </c>
      <c r="O10" s="86">
        <f>ROUND((($O$8-INDEX(C11:C18,P10))*INDEX(G11:G18,P10)+INDEX(E11:E18,P10))/12,2)</f>
        <v>0</v>
      </c>
      <c r="P10" s="59">
        <f>MATCH("X",I11:I18,0)</f>
        <v>1</v>
      </c>
    </row>
    <row r="11" spans="1:16" ht="15" customHeight="1" thickBot="1" x14ac:dyDescent="0.3">
      <c r="A11" s="59">
        <v>2</v>
      </c>
      <c r="B11" s="163"/>
      <c r="C11" s="14">
        <v>0</v>
      </c>
      <c r="D11" s="15">
        <f>INDEX(tbl_FedTaxData,A11+1,MATCH($D$4,tbl_Years,0))</f>
        <v>5250</v>
      </c>
      <c r="E11" s="48">
        <v>0</v>
      </c>
      <c r="F11" s="49" t="s">
        <v>40</v>
      </c>
      <c r="G11" s="62">
        <v>0</v>
      </c>
      <c r="H11" s="66" t="str">
        <f>IF(AND(C11&lt;=$L$8,$L$8&lt;=D11),"X","")</f>
        <v>X</v>
      </c>
      <c r="I11" s="66" t="str">
        <f>IF(AND(C11&lt;=$O$8,$O$8&lt;=D11),"X","")</f>
        <v>X</v>
      </c>
      <c r="K11" s="71" t="s">
        <v>11</v>
      </c>
      <c r="L11" s="70">
        <f>ROUND((($L$8-INDEX(C21:C28,M11))*INDEX(G21:G28,M11)+INDEX(E21:E28,M11)-val_FedDependentCredits)/12,2)</f>
        <v>0</v>
      </c>
      <c r="M11" s="59">
        <f>MATCH("X",H21:H28,0)</f>
        <v>1</v>
      </c>
      <c r="N11" s="90" t="s">
        <v>100</v>
      </c>
      <c r="O11" s="86">
        <f>ROUND((($O$8-INDEX(C21:C28,P11))*INDEX(G21:G28,P11)+INDEX(E21:E28,P11))/12,2)</f>
        <v>0</v>
      </c>
      <c r="P11" s="59">
        <f>MATCH("X",I21:I28,0)</f>
        <v>1</v>
      </c>
    </row>
    <row r="12" spans="1:16" ht="15.75" thickBot="1" x14ac:dyDescent="0.3">
      <c r="A12" s="59">
        <v>3</v>
      </c>
      <c r="B12" s="163"/>
      <c r="C12" s="17">
        <f t="shared" ref="C12:C18" si="0">INDEX(tbl_FedTaxData,A12,MATCH($D$4,tbl_Years,0))</f>
        <v>5250</v>
      </c>
      <c r="D12" s="18">
        <f t="shared" ref="D12:D17" si="1">INDEX(tbl_FedTaxData,A12+1,MATCH($D$4,tbl_Years,0))</f>
        <v>16250</v>
      </c>
      <c r="E12" s="51">
        <f t="shared" ref="E12:E18" si="2">INDEX(tbl_FedTaxData,A12,MATCH($D$4,tbl_Years,0)+2)</f>
        <v>0</v>
      </c>
      <c r="F12" s="52" t="s">
        <v>40</v>
      </c>
      <c r="G12" s="63">
        <f t="shared" ref="G12:G18" si="3">INDEX(tbl_FedTaxData,A12,MATCH($D$4,tbl_Years,0)+1)</f>
        <v>0.1</v>
      </c>
      <c r="H12" s="67" t="str">
        <f>IF($L$8=0,"",IF(AND(C12&lt;$L$8,$L$8&lt;=D12),"X",""))</f>
        <v/>
      </c>
      <c r="I12" s="67" t="str">
        <f>IF($O$8=0,"",IF(AND(C12&lt;$O$8,$O$8&lt;=D12),"X",""))</f>
        <v/>
      </c>
      <c r="K12" s="71" t="s">
        <v>93</v>
      </c>
      <c r="L12" s="70">
        <f>ROUND((($L$8-INDEX(C31:C38,M12))*INDEX(G31:G38,M12)+INDEX(E31:E38,M12)-val_FedDependentCredits)/12,2)</f>
        <v>0</v>
      </c>
      <c r="M12" s="59">
        <f>MATCH("X",H31:H38,0)</f>
        <v>1</v>
      </c>
      <c r="N12" s="78" t="s">
        <v>87</v>
      </c>
    </row>
    <row r="13" spans="1:16" x14ac:dyDescent="0.25">
      <c r="A13" s="59">
        <v>4</v>
      </c>
      <c r="B13" s="163"/>
      <c r="C13" s="17">
        <f t="shared" si="0"/>
        <v>16250</v>
      </c>
      <c r="D13" s="18">
        <f t="shared" si="1"/>
        <v>49975</v>
      </c>
      <c r="E13" s="51">
        <f t="shared" si="2"/>
        <v>1100</v>
      </c>
      <c r="F13" s="52" t="s">
        <v>40</v>
      </c>
      <c r="G13" s="63">
        <f t="shared" si="3"/>
        <v>0.12</v>
      </c>
      <c r="H13" s="67" t="str">
        <f>IF($L$8=0,"",IF(AND(C13&lt;$L$8,$L$8&lt;=D13),"X",""))</f>
        <v/>
      </c>
      <c r="I13" s="67" t="str">
        <f t="shared" ref="I13:I17" si="4">IF($O$8=0,"",IF(AND(C13&lt;$O$8,$O$8&lt;=D13),"X",""))</f>
        <v/>
      </c>
      <c r="K13" s="78"/>
      <c r="L13" s="78"/>
      <c r="M13" s="59"/>
      <c r="N13" s="78"/>
    </row>
    <row r="14" spans="1:16" ht="15.75" x14ac:dyDescent="0.25">
      <c r="A14" s="59">
        <v>5</v>
      </c>
      <c r="B14" s="163"/>
      <c r="C14" s="17">
        <f t="shared" si="0"/>
        <v>49975</v>
      </c>
      <c r="D14" s="18">
        <f>INDEX(tbl_FedTaxData,A14+1,MATCH($D$4,tbl_Years,0))</f>
        <v>100625</v>
      </c>
      <c r="E14" s="51">
        <f t="shared" si="2"/>
        <v>5147</v>
      </c>
      <c r="F14" s="52" t="s">
        <v>40</v>
      </c>
      <c r="G14" s="63">
        <f t="shared" si="3"/>
        <v>0.22</v>
      </c>
      <c r="H14" s="67" t="str">
        <f t="shared" ref="H14:H17" si="5">IF($L$8=0,"",IF(AND(C14&lt;$L$8,$L$8&lt;=D14),"X",""))</f>
        <v/>
      </c>
      <c r="I14" s="67" t="str">
        <f t="shared" si="4"/>
        <v/>
      </c>
      <c r="K14" s="58" t="s">
        <v>52</v>
      </c>
    </row>
    <row r="15" spans="1:16" ht="15.75" thickBot="1" x14ac:dyDescent="0.3">
      <c r="A15" s="59">
        <v>6</v>
      </c>
      <c r="B15" s="163"/>
      <c r="C15" s="17">
        <f t="shared" si="0"/>
        <v>100625</v>
      </c>
      <c r="D15" s="18">
        <f t="shared" si="1"/>
        <v>187350</v>
      </c>
      <c r="E15" s="51">
        <f t="shared" si="2"/>
        <v>16290</v>
      </c>
      <c r="F15" s="52" t="s">
        <v>40</v>
      </c>
      <c r="G15" s="63">
        <f t="shared" si="3"/>
        <v>0.24</v>
      </c>
      <c r="H15" s="67" t="str">
        <f t="shared" si="5"/>
        <v/>
      </c>
      <c r="I15" s="67" t="str">
        <f t="shared" si="4"/>
        <v/>
      </c>
      <c r="K15" s="2"/>
    </row>
    <row r="16" spans="1:16" ht="15.75" thickBot="1" x14ac:dyDescent="0.3">
      <c r="A16" s="59">
        <v>7</v>
      </c>
      <c r="B16" s="163"/>
      <c r="C16" s="17">
        <f t="shared" si="0"/>
        <v>187350</v>
      </c>
      <c r="D16" s="18">
        <f t="shared" si="1"/>
        <v>236500</v>
      </c>
      <c r="E16" s="51">
        <f t="shared" si="2"/>
        <v>37104</v>
      </c>
      <c r="F16" s="52" t="s">
        <v>40</v>
      </c>
      <c r="G16" s="63">
        <f t="shared" si="3"/>
        <v>0.32</v>
      </c>
      <c r="H16" s="67" t="str">
        <f t="shared" si="5"/>
        <v/>
      </c>
      <c r="I16" s="67" t="str">
        <f t="shared" si="4"/>
        <v/>
      </c>
      <c r="K16" s="44" t="s">
        <v>53</v>
      </c>
      <c r="L16" s="60">
        <f>val_FedDesired</f>
        <v>0</v>
      </c>
    </row>
    <row r="17" spans="1:18" ht="15.75" thickBot="1" x14ac:dyDescent="0.3">
      <c r="A17" s="59">
        <v>8</v>
      </c>
      <c r="B17" s="163"/>
      <c r="C17" s="17">
        <f t="shared" si="0"/>
        <v>236500</v>
      </c>
      <c r="D17" s="18">
        <f t="shared" si="1"/>
        <v>583375</v>
      </c>
      <c r="E17" s="51">
        <f t="shared" si="2"/>
        <v>52832</v>
      </c>
      <c r="F17" s="52" t="s">
        <v>40</v>
      </c>
      <c r="G17" s="63">
        <f t="shared" si="3"/>
        <v>0.35</v>
      </c>
      <c r="H17" s="67" t="str">
        <f t="shared" si="5"/>
        <v/>
      </c>
      <c r="I17" s="67" t="str">
        <f t="shared" si="4"/>
        <v/>
      </c>
      <c r="K17" s="71" t="s">
        <v>54</v>
      </c>
      <c r="L17" s="70">
        <f>val_FedWH</f>
        <v>0</v>
      </c>
    </row>
    <row r="18" spans="1:18" ht="15.75" thickBot="1" x14ac:dyDescent="0.3">
      <c r="A18" s="59">
        <v>9</v>
      </c>
      <c r="B18" s="164"/>
      <c r="C18" s="20">
        <f t="shared" si="0"/>
        <v>583375</v>
      </c>
      <c r="D18" s="21"/>
      <c r="E18" s="54">
        <f t="shared" si="2"/>
        <v>174238.25</v>
      </c>
      <c r="F18" s="55" t="s">
        <v>40</v>
      </c>
      <c r="G18" s="64">
        <f t="shared" si="3"/>
        <v>0.37</v>
      </c>
      <c r="H18" s="68" t="str">
        <f>IF($L$8=0,"",IF(C18&lt;$L$8,"X",""))</f>
        <v/>
      </c>
      <c r="I18" s="68" t="str">
        <f>IF($O$8=0,"",IF(C18&lt;$O$8,"X",""))</f>
        <v/>
      </c>
    </row>
    <row r="19" spans="1:18" ht="15.75" thickBot="1" x14ac:dyDescent="0.3">
      <c r="C19" s="42"/>
      <c r="D19" s="42"/>
      <c r="E19" s="43"/>
      <c r="G19" s="10"/>
      <c r="K19" s="167" t="s">
        <v>57</v>
      </c>
      <c r="L19" s="168"/>
      <c r="M19" s="168"/>
      <c r="N19" s="168"/>
      <c r="O19" s="168"/>
      <c r="P19" s="168"/>
      <c r="Q19" s="169"/>
      <c r="R19" s="65" t="s">
        <v>58</v>
      </c>
    </row>
    <row r="20" spans="1:18" ht="15" customHeight="1" thickBot="1" x14ac:dyDescent="0.3">
      <c r="B20" s="162" t="s">
        <v>14</v>
      </c>
      <c r="C20" s="31" t="s">
        <v>18</v>
      </c>
      <c r="D20" s="45" t="s">
        <v>38</v>
      </c>
      <c r="E20" s="45" t="s">
        <v>39</v>
      </c>
      <c r="F20" s="45"/>
      <c r="G20" s="61" t="s">
        <v>41</v>
      </c>
      <c r="H20" s="65" t="s">
        <v>46</v>
      </c>
      <c r="I20" s="65" t="s">
        <v>95</v>
      </c>
      <c r="K20" s="170" t="str">
        <f>"Increase Additional Withholding for Federal Elections to "&amp;TEXT(val_FedDesired-val_FedWH+val_FedAddWH,"$0.00")</f>
        <v>Increase Additional Withholding for Federal Elections to $0.00</v>
      </c>
      <c r="L20" s="171"/>
      <c r="M20" s="171"/>
      <c r="N20" s="171"/>
      <c r="O20" s="171"/>
      <c r="P20" s="171"/>
      <c r="Q20" s="172"/>
      <c r="R20" s="66" t="str">
        <f>IF(L16&gt;L17,"X","")</f>
        <v/>
      </c>
    </row>
    <row r="21" spans="1:18" ht="15" customHeight="1" x14ac:dyDescent="0.25">
      <c r="A21" s="59">
        <v>10</v>
      </c>
      <c r="B21" s="163"/>
      <c r="C21" s="14">
        <v>0</v>
      </c>
      <c r="D21" s="15">
        <f t="shared" ref="D21:D27" si="6">INDEX(tbl_FedTaxData,A21+1,MATCH($D$4,tbl_Years,0))</f>
        <v>14800</v>
      </c>
      <c r="E21" s="48">
        <v>0</v>
      </c>
      <c r="F21" s="49" t="s">
        <v>40</v>
      </c>
      <c r="G21" s="62">
        <v>0</v>
      </c>
      <c r="H21" s="66" t="str">
        <f>IF(AND(C21&lt;=$L$8,$L$8&lt;=D21),"X","")</f>
        <v>X</v>
      </c>
      <c r="I21" s="66" t="str">
        <f>IF(AND(C21&lt;=$O$8,$O$8&lt;=D21),"X","")</f>
        <v>X</v>
      </c>
      <c r="K21" s="173" t="s">
        <v>55</v>
      </c>
      <c r="L21" s="174"/>
      <c r="M21" s="174"/>
      <c r="N21" s="174"/>
      <c r="O21" s="174"/>
      <c r="P21" s="174"/>
      <c r="Q21" s="175"/>
      <c r="R21" s="67" t="str">
        <f>IF(L16=L17,"X","")</f>
        <v>X</v>
      </c>
    </row>
    <row r="22" spans="1:18" x14ac:dyDescent="0.25">
      <c r="A22" s="59">
        <v>11</v>
      </c>
      <c r="B22" s="163"/>
      <c r="C22" s="17">
        <f t="shared" ref="C22:C28" si="7">INDEX(tbl_FedTaxData,A22,MATCH($D$4,tbl_Years,0))</f>
        <v>14800</v>
      </c>
      <c r="D22" s="18">
        <f t="shared" si="6"/>
        <v>36800</v>
      </c>
      <c r="E22" s="51">
        <f t="shared" ref="E22:E28" si="8">INDEX(tbl_FedTaxData,A22,MATCH($D$4,tbl_Years,0)+2)</f>
        <v>0</v>
      </c>
      <c r="F22" s="52" t="s">
        <v>40</v>
      </c>
      <c r="G22" s="63">
        <f t="shared" ref="G22:G28" si="9">INDEX(tbl_FedTaxData,A22,MATCH($D$4,tbl_Years,0)+1)</f>
        <v>0.1</v>
      </c>
      <c r="H22" s="67" t="str">
        <f t="shared" ref="H22:H27" si="10">IF($L$8=0,"",IF(AND(C22&lt;$L$8,$L$8&lt;=D22),"X",""))</f>
        <v/>
      </c>
      <c r="I22" s="67" t="str">
        <f>IF($O$8=0,"",IF(AND(C22&lt;$O$8,$O$8&lt;=D22),"X",""))</f>
        <v/>
      </c>
      <c r="K22" s="173" t="s">
        <v>56</v>
      </c>
      <c r="L22" s="174"/>
      <c r="M22" s="174"/>
      <c r="N22" s="174"/>
      <c r="O22" s="174"/>
      <c r="P22" s="174"/>
      <c r="Q22" s="175"/>
      <c r="R22" s="67" t="str">
        <f>IF(L16&lt;L17,IF(val_FedAddWH&gt;0,"X",""),"")</f>
        <v/>
      </c>
    </row>
    <row r="23" spans="1:18" ht="15.75" thickBot="1" x14ac:dyDescent="0.3">
      <c r="A23" s="59">
        <v>12</v>
      </c>
      <c r="B23" s="163"/>
      <c r="C23" s="17">
        <f t="shared" si="7"/>
        <v>36800</v>
      </c>
      <c r="D23" s="18">
        <f t="shared" si="6"/>
        <v>104250</v>
      </c>
      <c r="E23" s="51">
        <f t="shared" si="8"/>
        <v>2200</v>
      </c>
      <c r="F23" s="52" t="s">
        <v>40</v>
      </c>
      <c r="G23" s="63">
        <f t="shared" si="9"/>
        <v>0.12</v>
      </c>
      <c r="H23" s="67" t="str">
        <f t="shared" si="10"/>
        <v/>
      </c>
      <c r="I23" s="67" t="str">
        <f t="shared" ref="I23:I27" si="11">IF($O$8=0,"",IF(AND(C23&lt;$O$8,$O$8&lt;=D23),"X",""))</f>
        <v/>
      </c>
      <c r="K23" s="176" t="s">
        <v>112</v>
      </c>
      <c r="L23" s="177"/>
      <c r="M23" s="177"/>
      <c r="N23" s="177"/>
      <c r="O23" s="177"/>
      <c r="P23" s="177"/>
      <c r="Q23" s="178"/>
      <c r="R23" s="68" t="str">
        <f>IF(L16&lt;L17,IF(val_FedAddWH&lt;=0,"X",""),"")</f>
        <v/>
      </c>
    </row>
    <row r="24" spans="1:18" x14ac:dyDescent="0.25">
      <c r="A24" s="59">
        <v>13</v>
      </c>
      <c r="B24" s="163"/>
      <c r="C24" s="17">
        <f t="shared" si="7"/>
        <v>104250</v>
      </c>
      <c r="D24" s="18">
        <f t="shared" si="6"/>
        <v>205550</v>
      </c>
      <c r="E24" s="51">
        <f t="shared" si="8"/>
        <v>10294</v>
      </c>
      <c r="F24" s="52" t="s">
        <v>40</v>
      </c>
      <c r="G24" s="63">
        <f t="shared" si="9"/>
        <v>0.22</v>
      </c>
      <c r="H24" s="67" t="str">
        <f t="shared" si="10"/>
        <v/>
      </c>
      <c r="I24" s="67" t="str">
        <f t="shared" si="11"/>
        <v/>
      </c>
    </row>
    <row r="25" spans="1:18" x14ac:dyDescent="0.25">
      <c r="A25" s="59">
        <v>14</v>
      </c>
      <c r="B25" s="163"/>
      <c r="C25" s="17">
        <f t="shared" si="7"/>
        <v>205550</v>
      </c>
      <c r="D25" s="18">
        <f t="shared" si="6"/>
        <v>379000</v>
      </c>
      <c r="E25" s="51">
        <f t="shared" si="8"/>
        <v>32580</v>
      </c>
      <c r="F25" s="52" t="s">
        <v>40</v>
      </c>
      <c r="G25" s="63">
        <f t="shared" si="9"/>
        <v>0.24</v>
      </c>
      <c r="H25" s="67" t="str">
        <f t="shared" si="10"/>
        <v/>
      </c>
      <c r="I25" s="67" t="str">
        <f t="shared" si="11"/>
        <v/>
      </c>
    </row>
    <row r="26" spans="1:18" ht="15.75" x14ac:dyDescent="0.25">
      <c r="A26" s="59">
        <v>15</v>
      </c>
      <c r="B26" s="163"/>
      <c r="C26" s="17">
        <f t="shared" si="7"/>
        <v>379000</v>
      </c>
      <c r="D26" s="18">
        <f t="shared" si="6"/>
        <v>477300</v>
      </c>
      <c r="E26" s="51">
        <f t="shared" si="8"/>
        <v>74208</v>
      </c>
      <c r="F26" s="52" t="s">
        <v>40</v>
      </c>
      <c r="G26" s="63">
        <f t="shared" si="9"/>
        <v>0.32</v>
      </c>
      <c r="H26" s="67" t="str">
        <f t="shared" si="10"/>
        <v/>
      </c>
      <c r="I26" s="67" t="str">
        <f t="shared" si="11"/>
        <v/>
      </c>
      <c r="K26" s="58"/>
    </row>
    <row r="27" spans="1:18" ht="15.75" x14ac:dyDescent="0.25">
      <c r="A27" s="59">
        <v>16</v>
      </c>
      <c r="B27" s="163"/>
      <c r="C27" s="17">
        <f t="shared" si="7"/>
        <v>477300</v>
      </c>
      <c r="D27" s="18">
        <f t="shared" si="6"/>
        <v>708550</v>
      </c>
      <c r="E27" s="51">
        <f t="shared" si="8"/>
        <v>105664</v>
      </c>
      <c r="F27" s="52" t="s">
        <v>40</v>
      </c>
      <c r="G27" s="63">
        <f t="shared" si="9"/>
        <v>0.35</v>
      </c>
      <c r="H27" s="67" t="str">
        <f t="shared" si="10"/>
        <v/>
      </c>
      <c r="I27" s="67" t="str">
        <f t="shared" si="11"/>
        <v/>
      </c>
      <c r="K27" s="58"/>
    </row>
    <row r="28" spans="1:18" ht="16.5" thickBot="1" x14ac:dyDescent="0.3">
      <c r="A28" s="59">
        <v>17</v>
      </c>
      <c r="B28" s="164"/>
      <c r="C28" s="20">
        <f t="shared" si="7"/>
        <v>708550</v>
      </c>
      <c r="D28" s="21"/>
      <c r="E28" s="54">
        <f t="shared" si="8"/>
        <v>186601.5</v>
      </c>
      <c r="F28" s="55" t="s">
        <v>40</v>
      </c>
      <c r="G28" s="64">
        <f t="shared" si="9"/>
        <v>0.37</v>
      </c>
      <c r="H28" s="68" t="str">
        <f>IF($L$8=0,"",IF(C28&lt;$L$8,"X",""))</f>
        <v/>
      </c>
      <c r="I28" s="68" t="str">
        <f>IF($O$8=0,"",IF(C28&lt;$O$8,"X",""))</f>
        <v/>
      </c>
      <c r="K28" s="58"/>
    </row>
    <row r="29" spans="1:18" ht="16.5" thickBot="1" x14ac:dyDescent="0.3">
      <c r="K29" s="58"/>
    </row>
    <row r="30" spans="1:18" ht="16.5" thickBot="1" x14ac:dyDescent="0.3">
      <c r="B30" s="162" t="s">
        <v>90</v>
      </c>
      <c r="C30" s="31" t="s">
        <v>18</v>
      </c>
      <c r="D30" s="45" t="s">
        <v>38</v>
      </c>
      <c r="E30" s="45" t="s">
        <v>39</v>
      </c>
      <c r="F30" s="45"/>
      <c r="G30" s="61" t="s">
        <v>41</v>
      </c>
      <c r="H30" s="65" t="s">
        <v>46</v>
      </c>
      <c r="J30" s="58"/>
    </row>
    <row r="31" spans="1:18" ht="15.75" x14ac:dyDescent="0.25">
      <c r="A31" s="59">
        <v>18</v>
      </c>
      <c r="B31" s="163"/>
      <c r="C31" s="14">
        <v>0</v>
      </c>
      <c r="D31" s="15">
        <f t="shared" ref="D31:D37" si="12">INDEX(tbl_FedTaxData,A31+1,MATCH($D$4,tbl_Years,0))</f>
        <v>12200</v>
      </c>
      <c r="E31" s="48">
        <v>0</v>
      </c>
      <c r="F31" s="49" t="s">
        <v>40</v>
      </c>
      <c r="G31" s="62">
        <v>0</v>
      </c>
      <c r="H31" s="66" t="str">
        <f>IF(AND(C31&lt;=$L$8,$L$8&lt;=D31),"X","")</f>
        <v>X</v>
      </c>
      <c r="J31" s="58"/>
    </row>
    <row r="32" spans="1:18" ht="15.75" x14ac:dyDescent="0.25">
      <c r="A32" s="59">
        <v>19</v>
      </c>
      <c r="B32" s="163"/>
      <c r="C32" s="17">
        <f t="shared" ref="C32:C38" si="13">INDEX(tbl_FedTaxData,A32,MATCH($D$4,tbl_Years,0))</f>
        <v>12200</v>
      </c>
      <c r="D32" s="18">
        <f t="shared" si="12"/>
        <v>27900</v>
      </c>
      <c r="E32" s="51">
        <f t="shared" ref="E32:E38" si="14">INDEX(tbl_FedTaxData,A32,MATCH($D$4,tbl_Years,0)+2)</f>
        <v>0</v>
      </c>
      <c r="F32" s="52" t="s">
        <v>40</v>
      </c>
      <c r="G32" s="63">
        <f t="shared" ref="G32:G38" si="15">INDEX(tbl_FedTaxData,A32,MATCH($D$4,tbl_Years,0)+1)</f>
        <v>0.1</v>
      </c>
      <c r="H32" s="67" t="str">
        <f t="shared" ref="H32:H37" si="16">IF($L$8=0,"",IF(AND(C32&lt;$L$8,$L$8&lt;=D32),"X",""))</f>
        <v/>
      </c>
      <c r="J32" s="58"/>
    </row>
    <row r="33" spans="1:15" x14ac:dyDescent="0.25">
      <c r="A33" s="59">
        <v>20</v>
      </c>
      <c r="B33" s="163"/>
      <c r="C33" s="17">
        <f t="shared" si="13"/>
        <v>27900</v>
      </c>
      <c r="D33" s="18">
        <f t="shared" si="12"/>
        <v>72050</v>
      </c>
      <c r="E33" s="51">
        <f t="shared" si="14"/>
        <v>1570</v>
      </c>
      <c r="F33" s="52" t="s">
        <v>40</v>
      </c>
      <c r="G33" s="63">
        <f t="shared" si="15"/>
        <v>0.12</v>
      </c>
      <c r="H33" s="67" t="str">
        <f t="shared" si="16"/>
        <v/>
      </c>
    </row>
    <row r="34" spans="1:15" x14ac:dyDescent="0.25">
      <c r="A34" s="59">
        <v>21</v>
      </c>
      <c r="B34" s="163"/>
      <c r="C34" s="17">
        <f t="shared" si="13"/>
        <v>72050</v>
      </c>
      <c r="D34" s="18">
        <f t="shared" si="12"/>
        <v>107550</v>
      </c>
      <c r="E34" s="51">
        <f t="shared" si="14"/>
        <v>6868</v>
      </c>
      <c r="F34" s="52" t="s">
        <v>40</v>
      </c>
      <c r="G34" s="63">
        <f t="shared" si="15"/>
        <v>0.22</v>
      </c>
      <c r="H34" s="67" t="str">
        <f t="shared" si="16"/>
        <v/>
      </c>
    </row>
    <row r="35" spans="1:15" ht="15" customHeight="1" x14ac:dyDescent="0.25">
      <c r="A35" s="59">
        <v>22</v>
      </c>
      <c r="B35" s="163"/>
      <c r="C35" s="17">
        <f t="shared" si="13"/>
        <v>107550</v>
      </c>
      <c r="D35" s="18">
        <f t="shared" si="12"/>
        <v>194300</v>
      </c>
      <c r="E35" s="51">
        <f t="shared" si="14"/>
        <v>14678</v>
      </c>
      <c r="F35" s="52" t="s">
        <v>40</v>
      </c>
      <c r="G35" s="63">
        <f t="shared" si="15"/>
        <v>0.24</v>
      </c>
      <c r="H35" s="67" t="str">
        <f t="shared" si="16"/>
        <v/>
      </c>
    </row>
    <row r="36" spans="1:15" x14ac:dyDescent="0.25">
      <c r="A36" s="59">
        <v>23</v>
      </c>
      <c r="B36" s="163"/>
      <c r="C36" s="17">
        <f>INDEX(tbl_FedTaxData,A36,MATCH($D$4,tbl_Years,0))</f>
        <v>194300</v>
      </c>
      <c r="D36" s="18">
        <f t="shared" si="12"/>
        <v>243450</v>
      </c>
      <c r="E36" s="51">
        <f t="shared" si="14"/>
        <v>35498</v>
      </c>
      <c r="F36" s="52" t="s">
        <v>40</v>
      </c>
      <c r="G36" s="63">
        <f t="shared" si="15"/>
        <v>0.32</v>
      </c>
      <c r="H36" s="67" t="str">
        <f t="shared" si="16"/>
        <v/>
      </c>
    </row>
    <row r="37" spans="1:15" x14ac:dyDescent="0.25">
      <c r="A37" s="59">
        <v>24</v>
      </c>
      <c r="B37" s="163"/>
      <c r="C37" s="17">
        <f t="shared" si="13"/>
        <v>243450</v>
      </c>
      <c r="D37" s="18">
        <f t="shared" si="12"/>
        <v>590300</v>
      </c>
      <c r="E37" s="51">
        <f t="shared" si="14"/>
        <v>51226</v>
      </c>
      <c r="F37" s="52" t="s">
        <v>40</v>
      </c>
      <c r="G37" s="63">
        <f t="shared" si="15"/>
        <v>0.35</v>
      </c>
      <c r="H37" s="67" t="str">
        <f t="shared" si="16"/>
        <v/>
      </c>
    </row>
    <row r="38" spans="1:15" ht="15.75" thickBot="1" x14ac:dyDescent="0.3">
      <c r="A38" s="59">
        <v>25</v>
      </c>
      <c r="B38" s="164"/>
      <c r="C38" s="20">
        <f t="shared" si="13"/>
        <v>590300</v>
      </c>
      <c r="D38" s="21"/>
      <c r="E38" s="54">
        <f t="shared" si="14"/>
        <v>172623.5</v>
      </c>
      <c r="F38" s="55" t="s">
        <v>40</v>
      </c>
      <c r="G38" s="64">
        <f t="shared" si="15"/>
        <v>0.37</v>
      </c>
      <c r="H38" s="68" t="str">
        <f>IF($L$8=0,"",IF(C38&lt;$L$8,"X",""))</f>
        <v/>
      </c>
    </row>
    <row r="39" spans="1:15" ht="15.75" thickBot="1" x14ac:dyDescent="0.3"/>
    <row r="40" spans="1:15" ht="15.75" thickBot="1" x14ac:dyDescent="0.3">
      <c r="B40" s="165" t="s">
        <v>91</v>
      </c>
      <c r="C40" s="84" t="s">
        <v>14</v>
      </c>
      <c r="D40" s="84" t="s">
        <v>92</v>
      </c>
      <c r="E40" s="81"/>
      <c r="F40" s="78"/>
      <c r="G40" s="82"/>
      <c r="H40" s="78"/>
      <c r="I40" s="78"/>
    </row>
    <row r="41" spans="1:15" ht="15.75" thickBot="1" x14ac:dyDescent="0.3">
      <c r="A41" s="59">
        <v>28</v>
      </c>
      <c r="B41" s="166"/>
      <c r="C41" s="20">
        <f t="shared" ref="C41" si="17">INDEX(tbl_FedTaxData,A41,MATCH($D$4,tbl_Years,0))</f>
        <v>12900</v>
      </c>
      <c r="D41" s="20">
        <f>INDEX(tbl_FedTaxData,A41+1,MATCH($D$4,tbl_Years,0))</f>
        <v>8600</v>
      </c>
      <c r="E41" s="81"/>
      <c r="F41" s="78"/>
      <c r="G41" s="82"/>
      <c r="H41" s="78"/>
      <c r="I41" s="78"/>
    </row>
    <row r="42" spans="1:15" x14ac:dyDescent="0.25">
      <c r="C42" s="43"/>
      <c r="D42" s="43"/>
      <c r="E42" s="81"/>
      <c r="F42" s="78"/>
      <c r="G42" s="82"/>
      <c r="H42" s="78"/>
      <c r="I42" s="78"/>
    </row>
    <row r="43" spans="1:15" ht="15.75" x14ac:dyDescent="0.25">
      <c r="B43" s="58" t="s">
        <v>42</v>
      </c>
    </row>
    <row r="44" spans="1:15" ht="16.5" thickBot="1" x14ac:dyDescent="0.3">
      <c r="B44" s="13"/>
      <c r="K44" s="58" t="s">
        <v>51</v>
      </c>
      <c r="N44" s="58" t="s">
        <v>94</v>
      </c>
    </row>
    <row r="45" spans="1:15" ht="15.75" thickBot="1" x14ac:dyDescent="0.3">
      <c r="A45" s="59">
        <v>1</v>
      </c>
      <c r="B45" s="44" t="s">
        <v>12</v>
      </c>
      <c r="C45" s="60">
        <f>INDEX(tbl_StateTaxData,A45,MATCH($D$4,tbl_Years,0))</f>
        <v>1000</v>
      </c>
    </row>
    <row r="46" spans="1:15" ht="15.75" thickBot="1" x14ac:dyDescent="0.3">
      <c r="K46" s="44" t="s">
        <v>47</v>
      </c>
      <c r="L46" s="60">
        <f>ROUND(MAX(0,val_MonthlyGross*12-C45*val_StateNumExempt),2)</f>
        <v>0</v>
      </c>
      <c r="N46" s="86">
        <f>ROUND(MAX(0,OLD_val_MonthlyGross*12-C45*OLD_val_StateNumExempt),2)</f>
        <v>0</v>
      </c>
    </row>
    <row r="47" spans="1:15" ht="15.75" thickBot="1" x14ac:dyDescent="0.3">
      <c r="B47" s="181" t="s">
        <v>31</v>
      </c>
      <c r="C47" s="46" t="s">
        <v>18</v>
      </c>
      <c r="D47" s="47" t="s">
        <v>38</v>
      </c>
      <c r="E47" s="47" t="s">
        <v>39</v>
      </c>
      <c r="F47" s="45"/>
      <c r="G47" s="33" t="s">
        <v>41</v>
      </c>
      <c r="H47" s="65" t="s">
        <v>46</v>
      </c>
      <c r="I47" s="65" t="s">
        <v>95</v>
      </c>
    </row>
    <row r="48" spans="1:15" ht="15.75" thickBot="1" x14ac:dyDescent="0.3">
      <c r="A48" s="59">
        <v>3</v>
      </c>
      <c r="B48" s="182"/>
      <c r="C48" s="14">
        <v>0</v>
      </c>
      <c r="D48" s="15">
        <f>INDEX(tbl_StateTaxData,A48+1,MATCH($D$4,tbl_Years,0))</f>
        <v>68200</v>
      </c>
      <c r="E48" s="48">
        <f>INDEX(tbl_StateTaxData,A48,MATCH($D$4,tbl_Years,0)+2)</f>
        <v>0</v>
      </c>
      <c r="F48" s="49" t="s">
        <v>40</v>
      </c>
      <c r="G48" s="50">
        <f>INDEX(tbl_StateTaxData,A48,MATCH($D$4,tbl_Years,0)+1)</f>
        <v>3.7499999999999999E-2</v>
      </c>
      <c r="H48" s="66" t="str">
        <f>IF(AND(C48&lt;=$L$46,$L$46&lt;=D48),"X","")</f>
        <v>X</v>
      </c>
      <c r="I48" s="66" t="str">
        <f>IF(AND(C48&lt;=$N$46,$N$46&lt;=D48),"X","")</f>
        <v>X</v>
      </c>
      <c r="K48" s="44" t="s">
        <v>49</v>
      </c>
      <c r="L48" s="60">
        <f>ROUND((($L$46-INDEX(C48:C50,M48))*INDEX(G48:G50,M48)+INDEX(E48:E50,M48))/12,2)</f>
        <v>0</v>
      </c>
      <c r="M48" s="59">
        <f>MATCH("X",H48:H50,0)</f>
        <v>1</v>
      </c>
      <c r="N48" s="86">
        <f>ROUND((($N$46-INDEX(C48:C50,O48))*INDEX(G48:G50,O48)+INDEX(E48:E50,O48))/12,2)</f>
        <v>0</v>
      </c>
      <c r="O48" s="59">
        <f>MATCH("X",I48:I50,0)</f>
        <v>1</v>
      </c>
    </row>
    <row r="49" spans="1:18" x14ac:dyDescent="0.25">
      <c r="A49" s="59">
        <v>4</v>
      </c>
      <c r="B49" s="182"/>
      <c r="C49" s="17">
        <f>INDEX(tbl_StateTaxData,A49,MATCH($D$4,tbl_Years,0))</f>
        <v>68200</v>
      </c>
      <c r="D49" s="18">
        <f>INDEX(tbl_StateTaxData,A49+1,MATCH($D$4,tbl_Years,0))</f>
        <v>155050</v>
      </c>
      <c r="E49" s="51">
        <f>INDEX(tbl_StateTaxData,A49,MATCH($D$4,tbl_Years,0)+2)</f>
        <v>2557.5</v>
      </c>
      <c r="F49" s="52" t="s">
        <v>40</v>
      </c>
      <c r="G49" s="53">
        <f>INDEX(tbl_StateTaxData,A49,MATCH($D$4,tbl_Years,0)+1)</f>
        <v>4.7500000000000001E-2</v>
      </c>
      <c r="H49" s="67" t="str">
        <f>IF($L$46=0,"",IF(AND(C49&lt;$L$46,$L$46&lt;=D49),"X",""))</f>
        <v/>
      </c>
      <c r="I49" s="67" t="str">
        <f>IF($N$46=0,"",IF(AND(C49&lt;$N$46,$N$46&lt;=D49),"X",""))</f>
        <v/>
      </c>
    </row>
    <row r="50" spans="1:18" ht="16.5" thickBot="1" x14ac:dyDescent="0.3">
      <c r="A50" s="59">
        <v>5</v>
      </c>
      <c r="B50" s="183"/>
      <c r="C50" s="20">
        <f>INDEX(tbl_StateTaxData,A50,MATCH($D$4,tbl_Years,0))</f>
        <v>155050</v>
      </c>
      <c r="D50" s="21"/>
      <c r="E50" s="54">
        <f>INDEX(tbl_StateTaxData,A50,MATCH($D$4,tbl_Years,0)+2)</f>
        <v>6682.875</v>
      </c>
      <c r="F50" s="55" t="s">
        <v>40</v>
      </c>
      <c r="G50" s="56">
        <f>INDEX(tbl_StateTaxData,A50,MATCH($D$4,tbl_Years,0)+1)</f>
        <v>5.9900000000000002E-2</v>
      </c>
      <c r="H50" s="68" t="str">
        <f>IF($L$46=0,"",IF(C50&lt;$L$46,"X",""))</f>
        <v/>
      </c>
      <c r="I50" s="68" t="str">
        <f>IF($N$46=0,"",IF(C50&lt;$N$46,"X",""))</f>
        <v/>
      </c>
      <c r="K50" s="58" t="s">
        <v>59</v>
      </c>
    </row>
    <row r="51" spans="1:18" ht="15.75" thickBot="1" x14ac:dyDescent="0.3">
      <c r="K51" s="2"/>
    </row>
    <row r="52" spans="1:18" ht="15.75" thickBot="1" x14ac:dyDescent="0.3">
      <c r="K52" s="44" t="s">
        <v>53</v>
      </c>
      <c r="L52" s="60">
        <f>val_StateDesired</f>
        <v>0</v>
      </c>
    </row>
    <row r="53" spans="1:18" ht="15.75" thickBot="1" x14ac:dyDescent="0.3">
      <c r="K53" s="71" t="s">
        <v>54</v>
      </c>
      <c r="L53" s="70">
        <f>val_StateWH</f>
        <v>0</v>
      </c>
    </row>
    <row r="54" spans="1:18" ht="15.75" thickBot="1" x14ac:dyDescent="0.3"/>
    <row r="55" spans="1:18" ht="15.75" thickBot="1" x14ac:dyDescent="0.3">
      <c r="K55" s="159" t="s">
        <v>57</v>
      </c>
      <c r="L55" s="160"/>
      <c r="M55" s="160"/>
      <c r="N55" s="160"/>
      <c r="O55" s="160"/>
      <c r="P55" s="160"/>
      <c r="Q55" s="161"/>
      <c r="R55" s="65" t="s">
        <v>58</v>
      </c>
    </row>
    <row r="56" spans="1:18" x14ac:dyDescent="0.25">
      <c r="K56" s="170" t="str">
        <f>"Increase Additional Withholding for RI Elections to "&amp;TEXT(val_StateDesired-val_StateWH+val_StateAddWH,"$0.00")</f>
        <v>Increase Additional Withholding for RI Elections to $0.00</v>
      </c>
      <c r="L56" s="171"/>
      <c r="M56" s="171"/>
      <c r="N56" s="171"/>
      <c r="O56" s="171"/>
      <c r="P56" s="171"/>
      <c r="Q56" s="172"/>
      <c r="R56" s="66" t="str">
        <f>IF(L52&gt;L53,"X","")</f>
        <v/>
      </c>
    </row>
    <row r="57" spans="1:18" x14ac:dyDescent="0.25">
      <c r="K57" s="173" t="s">
        <v>60</v>
      </c>
      <c r="L57" s="174"/>
      <c r="M57" s="174"/>
      <c r="N57" s="174"/>
      <c r="O57" s="174"/>
      <c r="P57" s="174"/>
      <c r="Q57" s="175"/>
      <c r="R57" s="67" t="str">
        <f>IF(L52=L53,"X","")</f>
        <v>X</v>
      </c>
    </row>
    <row r="58" spans="1:18" x14ac:dyDescent="0.25">
      <c r="K58" s="173" t="s">
        <v>61</v>
      </c>
      <c r="L58" s="174"/>
      <c r="M58" s="174"/>
      <c r="N58" s="174"/>
      <c r="O58" s="174"/>
      <c r="P58" s="174"/>
      <c r="Q58" s="175"/>
      <c r="R58" s="67" t="str">
        <f>IF(L52&lt;L53,IF(val_FedAddWH&gt;0,"X",""),"")</f>
        <v/>
      </c>
    </row>
    <row r="59" spans="1:18" ht="15.75" thickBot="1" x14ac:dyDescent="0.3">
      <c r="K59" s="176" t="s">
        <v>62</v>
      </c>
      <c r="L59" s="177"/>
      <c r="M59" s="177"/>
      <c r="N59" s="177"/>
      <c r="O59" s="177"/>
      <c r="P59" s="177"/>
      <c r="Q59" s="178"/>
      <c r="R59" s="68" t="str">
        <f>IF(L52&lt;L53,IF(val_FedAddWH&lt;=0,"X",""),"")</f>
        <v/>
      </c>
    </row>
  </sheetData>
  <sheetProtection selectLockedCells="1"/>
  <mergeCells count="16">
    <mergeCell ref="K55:Q55"/>
    <mergeCell ref="K56:Q56"/>
    <mergeCell ref="K57:Q57"/>
    <mergeCell ref="K58:Q58"/>
    <mergeCell ref="K59:Q59"/>
    <mergeCell ref="B4:C4"/>
    <mergeCell ref="B10:B18"/>
    <mergeCell ref="B20:B28"/>
    <mergeCell ref="B47:B50"/>
    <mergeCell ref="B30:B38"/>
    <mergeCell ref="B40:B41"/>
    <mergeCell ref="K19:Q19"/>
    <mergeCell ref="K20:Q20"/>
    <mergeCell ref="K21:Q21"/>
    <mergeCell ref="K22:Q22"/>
    <mergeCell ref="K23:Q23"/>
  </mergeCells>
  <conditionalFormatting sqref="C43:I46 C20:H20 C47:H47 C48:I50 C21:I29 C11:I19">
    <cfRule type="expression" dxfId="5" priority="7">
      <formula>$H11="X"</formula>
    </cfRule>
  </conditionalFormatting>
  <conditionalFormatting sqref="K20:R23 K56:K59 R56:R59">
    <cfRule type="expression" dxfId="4" priority="6">
      <formula>$R20="X"</formula>
    </cfRule>
  </conditionalFormatting>
  <conditionalFormatting sqref="C40:I42 C30:H38">
    <cfRule type="expression" dxfId="3" priority="4">
      <formula>$H30="X"</formula>
    </cfRule>
  </conditionalFormatting>
  <conditionalFormatting sqref="C39:I39">
    <cfRule type="expression" dxfId="2" priority="3">
      <formula>$H39="X"</formula>
    </cfRule>
  </conditionalFormatting>
  <conditionalFormatting sqref="B40:B41">
    <cfRule type="expression" dxfId="1" priority="2">
      <formula>$H40="X"</formula>
    </cfRule>
  </conditionalFormatting>
  <conditionalFormatting sqref="B42">
    <cfRule type="expression" dxfId="0" priority="1">
      <formula>$H42="X"</formula>
    </cfRule>
  </conditionalFormatting>
  <pageMargins left="0.7" right="0.7" top="0.75" bottom="0.75" header="0.3" footer="0.3"/>
  <pageSetup orientation="portrait" r:id="rId1"/>
  <customProperties>
    <customPr name="SheetId" r:id="rId2"/>
  </customProperties>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tabColor theme="3" tint="0.59999389629810485"/>
  </sheetPr>
  <dimension ref="B2:J154"/>
  <sheetViews>
    <sheetView zoomScaleNormal="100" workbookViewId="0">
      <selection activeCell="K31" sqref="K31"/>
    </sheetView>
  </sheetViews>
  <sheetFormatPr defaultColWidth="11.42578125" defaultRowHeight="15" x14ac:dyDescent="0.25"/>
  <cols>
    <col min="1" max="1" width="3.7109375" customWidth="1"/>
    <col min="2" max="2" width="4.7109375" customWidth="1"/>
  </cols>
  <sheetData>
    <row r="2" spans="2:2" ht="21" x14ac:dyDescent="0.35">
      <c r="B2" s="57" t="s">
        <v>65</v>
      </c>
    </row>
    <row r="4" spans="2:2" ht="15.75" x14ac:dyDescent="0.25">
      <c r="B4" s="58" t="s">
        <v>63</v>
      </c>
    </row>
    <row r="6" spans="2:2" x14ac:dyDescent="0.25">
      <c r="B6" t="s">
        <v>67</v>
      </c>
    </row>
    <row r="7" spans="2:2" x14ac:dyDescent="0.25">
      <c r="B7" t="s">
        <v>68</v>
      </c>
    </row>
    <row r="20" spans="2:5" x14ac:dyDescent="0.25">
      <c r="B20" t="s">
        <v>66</v>
      </c>
    </row>
    <row r="21" spans="2:5" s="76" customFormat="1" x14ac:dyDescent="0.25">
      <c r="B21" s="77" t="s">
        <v>69</v>
      </c>
    </row>
    <row r="27" spans="2:5" ht="15.75" x14ac:dyDescent="0.25">
      <c r="B27" s="58" t="s">
        <v>17</v>
      </c>
    </row>
    <row r="28" spans="2:5" x14ac:dyDescent="0.25">
      <c r="B28" t="s">
        <v>16</v>
      </c>
    </row>
    <row r="29" spans="2:5" x14ac:dyDescent="0.25">
      <c r="B29" t="s">
        <v>21</v>
      </c>
    </row>
    <row r="30" spans="2:5" x14ac:dyDescent="0.25">
      <c r="B30" s="79" t="s">
        <v>22</v>
      </c>
    </row>
    <row r="32" spans="2:5" x14ac:dyDescent="0.25">
      <c r="B32" t="s">
        <v>84</v>
      </c>
      <c r="E32" s="12" t="s">
        <v>85</v>
      </c>
    </row>
    <row r="33" spans="2:5" x14ac:dyDescent="0.25">
      <c r="B33" t="s">
        <v>70</v>
      </c>
      <c r="E33" s="12"/>
    </row>
    <row r="35" spans="2:5" x14ac:dyDescent="0.25">
      <c r="B35" t="s">
        <v>23</v>
      </c>
    </row>
    <row r="37" spans="2:5" x14ac:dyDescent="0.25">
      <c r="B37" s="37" t="s">
        <v>24</v>
      </c>
    </row>
    <row r="38" spans="2:5" ht="24.6" customHeight="1" x14ac:dyDescent="0.25">
      <c r="B38" s="59" t="s">
        <v>37</v>
      </c>
      <c r="C38" s="80" t="s">
        <v>83</v>
      </c>
    </row>
    <row r="39" spans="2:5" x14ac:dyDescent="0.25">
      <c r="C39" t="s">
        <v>71</v>
      </c>
    </row>
    <row r="54" spans="2:3" x14ac:dyDescent="0.25">
      <c r="B54" s="37" t="s">
        <v>34</v>
      </c>
    </row>
    <row r="55" spans="2:3" x14ac:dyDescent="0.25">
      <c r="C55" t="s">
        <v>86</v>
      </c>
    </row>
    <row r="56" spans="2:3" x14ac:dyDescent="0.25">
      <c r="C56" t="s">
        <v>28</v>
      </c>
    </row>
    <row r="57" spans="2:3" x14ac:dyDescent="0.25">
      <c r="C57" t="s">
        <v>25</v>
      </c>
    </row>
    <row r="73" spans="2:3" x14ac:dyDescent="0.25">
      <c r="B73" s="37" t="s">
        <v>20</v>
      </c>
    </row>
    <row r="74" spans="2:3" x14ac:dyDescent="0.25">
      <c r="C74" t="s">
        <v>72</v>
      </c>
    </row>
    <row r="77" spans="2:3" ht="15.75" x14ac:dyDescent="0.25">
      <c r="B77" s="58" t="s">
        <v>30</v>
      </c>
    </row>
    <row r="79" spans="2:3" x14ac:dyDescent="0.25">
      <c r="B79" t="s">
        <v>21</v>
      </c>
    </row>
    <row r="80" spans="2:3" x14ac:dyDescent="0.25">
      <c r="B80" s="79" t="s">
        <v>43</v>
      </c>
    </row>
    <row r="82" spans="2:10" x14ac:dyDescent="0.25">
      <c r="B82" t="s">
        <v>32</v>
      </c>
      <c r="H82" s="12"/>
      <c r="I82" s="12" t="s">
        <v>33</v>
      </c>
      <c r="J82" s="12"/>
    </row>
    <row r="84" spans="2:10" x14ac:dyDescent="0.25">
      <c r="B84" t="s">
        <v>23</v>
      </c>
    </row>
    <row r="86" spans="2:10" x14ac:dyDescent="0.25">
      <c r="B86" s="37" t="s">
        <v>24</v>
      </c>
    </row>
    <row r="87" spans="2:10" x14ac:dyDescent="0.25">
      <c r="C87" t="s">
        <v>36</v>
      </c>
    </row>
    <row r="88" spans="2:10" x14ac:dyDescent="0.25">
      <c r="C88" t="s">
        <v>73</v>
      </c>
    </row>
    <row r="104" spans="2:3" x14ac:dyDescent="0.25">
      <c r="B104" s="37" t="s">
        <v>31</v>
      </c>
    </row>
    <row r="105" spans="2:3" x14ac:dyDescent="0.25">
      <c r="C105" t="s">
        <v>35</v>
      </c>
    </row>
    <row r="106" spans="2:3" x14ac:dyDescent="0.25">
      <c r="C106" t="s">
        <v>74</v>
      </c>
    </row>
    <row r="107" spans="2:3" x14ac:dyDescent="0.25">
      <c r="C107" t="s">
        <v>75</v>
      </c>
    </row>
    <row r="121" spans="2:3" x14ac:dyDescent="0.25">
      <c r="B121" s="37" t="s">
        <v>20</v>
      </c>
    </row>
    <row r="122" spans="2:3" x14ac:dyDescent="0.25">
      <c r="C122" t="s">
        <v>76</v>
      </c>
    </row>
    <row r="125" spans="2:3" ht="15.75" x14ac:dyDescent="0.25">
      <c r="B125" s="58" t="s">
        <v>64</v>
      </c>
    </row>
    <row r="127" spans="2:3" x14ac:dyDescent="0.25">
      <c r="B127" t="s">
        <v>77</v>
      </c>
    </row>
    <row r="129" spans="2:2" ht="15.75" x14ac:dyDescent="0.25">
      <c r="B129" s="58" t="s">
        <v>78</v>
      </c>
    </row>
    <row r="131" spans="2:2" x14ac:dyDescent="0.25">
      <c r="B131" t="s">
        <v>79</v>
      </c>
    </row>
    <row r="132" spans="2:2" x14ac:dyDescent="0.25">
      <c r="B132" t="s">
        <v>80</v>
      </c>
    </row>
    <row r="133" spans="2:2" x14ac:dyDescent="0.25">
      <c r="B133" t="s">
        <v>82</v>
      </c>
    </row>
    <row r="144" spans="2:2" x14ac:dyDescent="0.25">
      <c r="B144" t="s">
        <v>81</v>
      </c>
    </row>
    <row r="154" spans="5:5" x14ac:dyDescent="0.25">
      <c r="E154" s="13"/>
    </row>
  </sheetData>
  <sheetProtection selectLockedCells="1"/>
  <hyperlinks>
    <hyperlink ref="B30" r:id="rId1" xr:uid="{00000000-0004-0000-0400-000000000000}"/>
    <hyperlink ref="B80" r:id="rId2" xr:uid="{00000000-0004-0000-0400-000001000000}"/>
  </hyperlinks>
  <pageMargins left="0.7" right="0.7" top="0.75" bottom="0.75" header="0.3" footer="0.3"/>
  <pageSetup orientation="portrait" r:id="rId3"/>
  <customProperties>
    <customPr name="SheetId" r:id="rId4"/>
  </customPropertie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6012F-EBEE-42B8-BF50-AF0FF2BDB7C6}">
  <dimension ref="C1"/>
  <sheetViews>
    <sheetView workbookViewId="0"/>
  </sheetViews>
  <sheetFormatPr defaultColWidth="11.42578125" defaultRowHeight="15" x14ac:dyDescent="0.25"/>
  <sheetData>
    <row r="1" spans="3:3" x14ac:dyDescent="0.25">
      <c r="C1" t="b">
        <v>1</v>
      </c>
    </row>
  </sheetData>
  <pageMargins left="0.7" right="0.7" top="0.75" bottom="0.75" header="0.3" footer="0.3"/>
  <pageSetup orientation="portrait" r:id="rId1"/>
  <customProperties>
    <customPr name="Sheet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M Q S U V S 2 8 W 0 y k A A A A 9 g A A A B I A H A B D b 2 5 m a W c v U G F j a 2 F n Z S 5 4 b W w g o h g A K K A U A A A A A A A A A A A A A A A A A A A A A A A A A A A A h Y 9 L C s I w G I S v U r J v X o J I + Z s i 3 V o Q B H E b 0 r Q G 2 1 T S 1 P R u L j y S V 7 C i V X c u Z + Y b m L l f b 5 C N b R N d t O t N Z 1 P E M E W R t q o r j a 1 T N P g q X q F M w F a q k 6 x 1 N M G 2 T 8 b e p O j o / T k h J I S A w w J 3 r i a c U k Y O x W a n j r q V s b G 9 l 1 Z p 9 G m V / 1 t I w P 4 1 R n D M G M N L y j E F M p t Q G P s F + L T 3 m f 6 Y k A + N H 5 w W l Y v z N Z B Z A n l / E A 9 Q S w M E F A A C A A g A M Q S U 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E E l F U o i k e 4 D g A A A B E A A A A T A B w A R m 9 y b X V s Y X M v U 2 V j d G l v b j E u b S C i G A A o o B Q A A A A A A A A A A A A A A A A A A A A A A A A A A A A r T k 0 u y c z P U w i G 0 I b W A F B L A Q I t A B Q A A g A I A D E E l F U t v F t M p A A A A P Y A A A A S A A A A A A A A A A A A A A A A A A A A A A B D b 2 5 m a W c v U G F j a 2 F n Z S 5 4 b W x Q S w E C L Q A U A A I A C A A x B J R V D 8 r p q 6 Q A A A D p A A A A E w A A A A A A A A A A A A A A A A D w A A A A W 0 N v b n R l b n R f V H l w Z X N d L n h t b F B L A Q I t A B Q A A g A I A D E E l F U 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C O b t V w z s C R 6 + 6 Q p u B S r E g A A A A A A I A A A A A A A N m A A D A A A A A E A A A A F 4 Z a h T 6 S j s K M 4 6 Q s n Y 1 6 V Y A A A A A B I A A A K A A A A A Q A A A A S n E K r w x B x G 4 c g H X S U U 4 M + l A A A A C e 3 S 2 1 2 H f 3 l u 3 L + y t + I F M Q O 2 / e l J e Z J P h w A 5 R g x / 1 Y 5 I B E O v s n k u 5 D j N d D o q i P V z u 7 j W H b g A h I 3 l G r I x 9 K Q j 2 d e D W f t l T I M H c F y D i a R V x 9 + x Q A A A D h 0 S Q 3 V i z 8 H B Q y K q h O A b i e Y p l j 0 g = = < / D a t a M a s h u p > 
</file>

<file path=customXml/itemProps1.xml><?xml version="1.0" encoding="utf-8"?>
<ds:datastoreItem xmlns:ds="http://schemas.openxmlformats.org/officeDocument/2006/customXml" ds:itemID="{18152BD5-5D8B-4D71-BABE-17CD891A8FC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39</vt:i4>
      </vt:variant>
    </vt:vector>
  </HeadingPairs>
  <TitlesOfParts>
    <vt:vector size="44" baseType="lpstr">
      <vt:lpstr>Tax_Calculator_2023</vt:lpstr>
      <vt:lpstr>Computational Bridge Calc</vt:lpstr>
      <vt:lpstr>Data</vt:lpstr>
      <vt:lpstr>TaxCalculation</vt:lpstr>
      <vt:lpstr>Update</vt:lpstr>
      <vt:lpstr>OLD_val_FedAddWH</vt:lpstr>
      <vt:lpstr>OLD_val_FedMarriedWH</vt:lpstr>
      <vt:lpstr>OLD_val_FedNumExempt</vt:lpstr>
      <vt:lpstr>OLD_val_FedSingleWH</vt:lpstr>
      <vt:lpstr>OLD_val_MaritalStatus</vt:lpstr>
      <vt:lpstr>OLD_val_MonthlyGross</vt:lpstr>
      <vt:lpstr>OLD_val_StateAddWH</vt:lpstr>
      <vt:lpstr>OLD_val_StateCalcWH</vt:lpstr>
      <vt:lpstr>OLD_val_StateNumExempt</vt:lpstr>
      <vt:lpstr>tbl_FedTaxData</vt:lpstr>
      <vt:lpstr>tbl_StateTaxData</vt:lpstr>
      <vt:lpstr>tbl_Years</vt:lpstr>
      <vt:lpstr>'Computational Bridge Calc'!val_FedAddWH</vt:lpstr>
      <vt:lpstr>val_FedAddWH</vt:lpstr>
      <vt:lpstr>val_FedDeductions</vt:lpstr>
      <vt:lpstr>val_FedDependentCredits</vt:lpstr>
      <vt:lpstr>val_FedDesired</vt:lpstr>
      <vt:lpstr>val_FedHoHWH</vt:lpstr>
      <vt:lpstr>val_FedMarriedWH</vt:lpstr>
      <vt:lpstr>'Computational Bridge Calc'!val_FedNumExempt</vt:lpstr>
      <vt:lpstr>val_FedOtherIncome</vt:lpstr>
      <vt:lpstr>val_FedSingleWH</vt:lpstr>
      <vt:lpstr>val_FedTotalIncAddPens</vt:lpstr>
      <vt:lpstr>'Computational Bridge Calc'!val_FedWH</vt:lpstr>
      <vt:lpstr>val_FedWH</vt:lpstr>
      <vt:lpstr>Val_FillingDeductionMarried</vt:lpstr>
      <vt:lpstr>Val_FillingDeductionOther</vt:lpstr>
      <vt:lpstr>'Computational Bridge Calc'!val_MaritalStatus</vt:lpstr>
      <vt:lpstr>val_MaritalStatus</vt:lpstr>
      <vt:lpstr>'Computational Bridge Calc'!val_MonthlyGross</vt:lpstr>
      <vt:lpstr>val_MonthlyGross</vt:lpstr>
      <vt:lpstr>'Computational Bridge Calc'!val_StateAddWH</vt:lpstr>
      <vt:lpstr>val_StateAddWH</vt:lpstr>
      <vt:lpstr>val_StateCalcWH</vt:lpstr>
      <vt:lpstr>val_StateDesired</vt:lpstr>
      <vt:lpstr>'Computational Bridge Calc'!val_StateNumExempt</vt:lpstr>
      <vt:lpstr>val_StateNumExempt</vt:lpstr>
      <vt:lpstr>'Computational Bridge Calc'!val_StateWH</vt:lpstr>
      <vt:lpstr>val_StateWH</vt:lpstr>
    </vt:vector>
  </TitlesOfParts>
  <Company>Morneau Shepell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Koehler</dc:creator>
  <cp:lastModifiedBy>Eric Motta</cp:lastModifiedBy>
  <cp:lastPrinted>2023-03-30T17:08:45Z</cp:lastPrinted>
  <dcterms:created xsi:type="dcterms:W3CDTF">2014-11-24T13:35:58Z</dcterms:created>
  <dcterms:modified xsi:type="dcterms:W3CDTF">2023-04-06T14:28:07Z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e712cef-7f2e-4ff6-bc72-fc5d119f50a1_Enabled">
    <vt:lpwstr>true</vt:lpwstr>
  </property>
  <property fmtid="{D5CDD505-2E9C-101B-9397-08002B2CF9AE}" pid="3" name="MSIP_Label_0e712cef-7f2e-4ff6-bc72-fc5d119f50a1_SetDate">
    <vt:lpwstr>2021-01-19T19:13:07Z</vt:lpwstr>
  </property>
  <property fmtid="{D5CDD505-2E9C-101B-9397-08002B2CF9AE}" pid="4" name="MSIP_Label_0e712cef-7f2e-4ff6-bc72-fc5d119f50a1_Method">
    <vt:lpwstr>Standard</vt:lpwstr>
  </property>
  <property fmtid="{D5CDD505-2E9C-101B-9397-08002B2CF9AE}" pid="5" name="MSIP_Label_0e712cef-7f2e-4ff6-bc72-fc5d119f50a1_Name">
    <vt:lpwstr>Company Confidential</vt:lpwstr>
  </property>
  <property fmtid="{D5CDD505-2E9C-101B-9397-08002B2CF9AE}" pid="6" name="MSIP_Label_0e712cef-7f2e-4ff6-bc72-fc5d119f50a1_SiteId">
    <vt:lpwstr>7565b51c-5e87-48eb-bc80-252b20bc1ade</vt:lpwstr>
  </property>
  <property fmtid="{D5CDD505-2E9C-101B-9397-08002B2CF9AE}" pid="7" name="MSIP_Label_0e712cef-7f2e-4ff6-bc72-fc5d119f50a1_ActionId">
    <vt:lpwstr>e75bdb71-5ee5-4b06-ae54-ba03a10e06e9</vt:lpwstr>
  </property>
  <property fmtid="{D5CDD505-2E9C-101B-9397-08002B2CF9AE}" pid="8" name="MSIP_Label_0e712cef-7f2e-4ff6-bc72-fc5d119f50a1_ContentBits">
    <vt:lpwstr>0</vt:lpwstr>
  </property>
</Properties>
</file>